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
  </bookViews>
  <sheets>
    <sheet name="汇总表" sheetId="8" r:id="rId1"/>
    <sheet name="3号水池-栏杆及五金工程" sheetId="2" r:id="rId2"/>
    <sheet name="3号水池-铝合金门窗工程" sheetId="5" r:id="rId3"/>
    <sheet name="3号水池-厂区大门工程" sheetId="7" r:id="rId4"/>
    <sheet name="B02-05（包工包料） (2)" sheetId="3" state="hidden" r:id="rId5"/>
  </sheets>
  <definedNames>
    <definedName name="_xlnm._FilterDatabase" localSheetId="4" hidden="1">'B02-05（包工包料） (2)'!$A$42:$V$70</definedName>
    <definedName name="_xlnm.Print_Area" localSheetId="1">'3号水池-栏杆及五金工程'!$A$1:$M$33</definedName>
    <definedName name="_xlnm.Print_Area" localSheetId="4">'B02-05（包工包料） (2)'!$A$1:$N$70</definedName>
    <definedName name="_xlnm._FilterDatabase" localSheetId="1" hidden="1">'3号水池-栏杆及五金工程'!#REF!</definedName>
    <definedName name="_xlnm.Print_Area" localSheetId="3">'3号水池-厂区大门工程'!$A$1:$M$11</definedName>
    <definedName name="_xlnm._FilterDatabase" localSheetId="3" hidden="1">'3号水池-厂区大门工程'!#REF!</definedName>
    <definedName name="_xlnm.Print_Area" localSheetId="2">'3号水池-铝合金门窗工程'!$A$1:$N$22</definedName>
    <definedName name="_xlnm.Print_Titles" localSheetId="1">'3号水池-栏杆及五金工程'!$1:$3</definedName>
    <definedName name="_xlnm.Print_Titles" localSheetId="2">'3号水池-铝合金门窗工程'!$1:$4</definedName>
    <definedName name="_xlnm.Print_Titles" localSheetId="3">'3号水池-厂区大门工程'!$1:$3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U11" authorId="0">
      <text>
        <r>
          <rPr>
            <b/>
            <sz val="9"/>
            <rFont val="宋体"/>
            <charset val="134"/>
          </rPr>
          <t>Administrator:</t>
        </r>
        <r>
          <rPr>
            <sz val="9"/>
            <rFont val="宋体"/>
            <charset val="134"/>
          </rPr>
          <t xml:space="preserve">
1厚重量
</t>
        </r>
      </text>
    </comment>
    <comment ref="V11" authorId="0">
      <text>
        <r>
          <rPr>
            <b/>
            <sz val="9"/>
            <rFont val="宋体"/>
            <charset val="134"/>
          </rPr>
          <t>Administrator:</t>
        </r>
        <r>
          <rPr>
            <sz val="9"/>
            <rFont val="宋体"/>
            <charset val="134"/>
          </rPr>
          <t xml:space="preserve">
角钢重量
</t>
        </r>
      </text>
    </comment>
    <comment ref="O12" authorId="0">
      <text>
        <r>
          <rPr>
            <b/>
            <sz val="9"/>
            <rFont val="宋体"/>
            <charset val="134"/>
          </rPr>
          <t>Administrator:</t>
        </r>
        <r>
          <rPr>
            <sz val="9"/>
            <rFont val="宋体"/>
            <charset val="134"/>
          </rPr>
          <t xml:space="preserve">
格栅
重量
</t>
        </r>
      </text>
    </comment>
    <comment ref="P12" authorId="0">
      <text>
        <r>
          <rPr>
            <b/>
            <sz val="9"/>
            <rFont val="宋体"/>
            <charset val="134"/>
          </rPr>
          <t>Administrator:</t>
        </r>
        <r>
          <rPr>
            <sz val="9"/>
            <rFont val="宋体"/>
            <charset val="134"/>
          </rPr>
          <t xml:space="preserve">
角钢重量
</t>
        </r>
      </text>
    </comment>
    <comment ref="P14" authorId="0">
      <text>
        <r>
          <rPr>
            <b/>
            <sz val="9"/>
            <rFont val="宋体"/>
            <charset val="134"/>
          </rPr>
          <t>Administrator:</t>
        </r>
        <r>
          <rPr>
            <sz val="9"/>
            <rFont val="宋体"/>
            <charset val="134"/>
          </rPr>
          <t xml:space="preserve">
镀锌盖板
</t>
        </r>
      </text>
    </comment>
    <comment ref="O15" authorId="0">
      <text>
        <r>
          <rPr>
            <b/>
            <sz val="9"/>
            <rFont val="宋体"/>
            <charset val="134"/>
          </rPr>
          <t>Administrator:</t>
        </r>
        <r>
          <rPr>
            <sz val="9"/>
            <rFont val="宋体"/>
            <charset val="134"/>
          </rPr>
          <t xml:space="preserve">
格栅
重量
</t>
        </r>
      </text>
    </comment>
    <comment ref="P15" authorId="0">
      <text>
        <r>
          <rPr>
            <b/>
            <sz val="9"/>
            <rFont val="宋体"/>
            <charset val="134"/>
          </rPr>
          <t>Administrator:</t>
        </r>
        <r>
          <rPr>
            <sz val="9"/>
            <rFont val="宋体"/>
            <charset val="134"/>
          </rPr>
          <t xml:space="preserve">
角钢重量
</t>
        </r>
      </text>
    </comment>
  </commentList>
</comments>
</file>

<file path=xl/sharedStrings.xml><?xml version="1.0" encoding="utf-8"?>
<sst xmlns="http://schemas.openxmlformats.org/spreadsheetml/2006/main" count="527" uniqueCount="230">
  <si>
    <t>报价清单汇总表</t>
  </si>
  <si>
    <t>工程名称：东莞市常平镇环保专业基地洗水、印花污水处理厂-3号水池、配水井栏杆五金、铝合金门窗及厂区大门工程</t>
  </si>
  <si>
    <t>序号</t>
  </si>
  <si>
    <t>名称</t>
  </si>
  <si>
    <t>本工程不含税合价
（元）</t>
  </si>
  <si>
    <t>税金（%）</t>
  </si>
  <si>
    <t>本工程含税合价
（元）</t>
  </si>
  <si>
    <t>备注</t>
  </si>
  <si>
    <t>栏杆、盖板及零星五金制安工程</t>
  </si>
  <si>
    <t>铝合金门窗工程</t>
  </si>
  <si>
    <t>厂区大门工程</t>
  </si>
  <si>
    <t>合  计（元）</t>
  </si>
  <si>
    <t>投标单位（盖章）：</t>
  </si>
  <si>
    <t>报价人：</t>
  </si>
  <si>
    <t>联系电话：</t>
  </si>
  <si>
    <r>
      <rPr>
        <b/>
        <sz val="12"/>
        <rFont val="SimSun"/>
        <charset val="134"/>
      </rPr>
      <t>日期：</t>
    </r>
    <r>
      <rPr>
        <b/>
        <sz val="12"/>
        <rFont val="Calibri"/>
        <charset val="134"/>
      </rPr>
      <t xml:space="preserve">2025 </t>
    </r>
    <r>
      <rPr>
        <b/>
        <sz val="12"/>
        <rFont val="SimSun"/>
        <charset val="134"/>
      </rPr>
      <t>年   月   日</t>
    </r>
  </si>
  <si>
    <t>栏杆、盖板及零星五金制安工程报价清单（包工包料）</t>
  </si>
  <si>
    <t>工程名称：东莞市常平镇环保专业基地洗水、印花污水处理厂-3号水池、配水井</t>
  </si>
  <si>
    <t>项目名称</t>
  </si>
  <si>
    <t>项目特征描述</t>
  </si>
  <si>
    <t>工程量计算规则</t>
  </si>
  <si>
    <t>计量单位</t>
  </si>
  <si>
    <t>工程量A</t>
  </si>
  <si>
    <t>人工费B
（元）</t>
  </si>
  <si>
    <t>主材费C
（元）</t>
  </si>
  <si>
    <t>辅材费D
（元）</t>
  </si>
  <si>
    <t>除主材、人工、辅材、税金以外的其他费用E（元）</t>
  </si>
  <si>
    <t>不含含税
综合单价F=B+C+D+E
（元）</t>
  </si>
  <si>
    <t>不含税
综合合价G=A*F
（元）</t>
  </si>
  <si>
    <t>建筑内部池边防护栏杆-1100mm高（高密度沉淀池、平流沉淀池、高低压配电间、管廊）</t>
  </si>
  <si>
    <t>1、高度:1100mm
2、扶手材料种类、规格:口60x25x2不锈钢管
3、栏杆材料种类、规格:立杆口60x25x2不锈钢管、横杆口40x25x1.5不锈钢管
4、固定配件种类:预埋钢板120x120x8、不锈钢法兰盘                                 
5、具体做法详见招标图纸</t>
  </si>
  <si>
    <t>按设计图示尺寸以米计算</t>
  </si>
  <si>
    <t>m</t>
  </si>
  <si>
    <t xml:space="preserve"> </t>
  </si>
  <si>
    <t>不锈钢可拆卸防护栏杆-1200mm高</t>
  </si>
  <si>
    <t xml:space="preserve">1、高度:1200mm
2、不锈钢可拆卸防护栏杆    
3、具体做法详见招标图纸
</t>
  </si>
  <si>
    <t>建筑外围不锈钢栏杆-1200mm高（屋面、建筑外墙、LT01、LT03、）</t>
  </si>
  <si>
    <t>1、高度:1200mm
2、扶手材料种类、规格:口60x25x3不锈钢管
3、栏杆材料种类、规格:立杆口60x25x3不锈钢管、横杆口40x25x2不锈钢管、立杆口20x20x1.5不锈钢管
4、固定配件种类:预埋钢板120x120x8、不锈钢法兰盘         
5、具体做法详见招标图纸</t>
  </si>
  <si>
    <t>护窗栏杆-900mm高</t>
  </si>
  <si>
    <t>1、高度:900mm
2、扶手材料种类、规格:φ50*1.5不锈钢管
3、栏杆材料种类、规格:立杆φ20*1.5@110不锈钢管
4、固定配件种类:预埋钢板通长、不锈钢法兰盘                                     5、详图集22J403-1/4-24页/HC7              
6、具体做法详见招标图纸</t>
  </si>
  <si>
    <t>玻璃栏杆-1100mm高</t>
  </si>
  <si>
    <t>1、栏杆玻璃的种类、规格、颜色:12.76厚钢化夹层玻璃
2、扶手材料种类:φ80*50拉丝不锈钢椭圆管扶手
3、立柱材料种类:口60*3方钢管立柱                               4、详图集22J403-1/3-57页/PC5             
5、具体做法详见招标图纸</t>
  </si>
  <si>
    <t>围挡不锈钢栏杆-600mm高(好氧池)</t>
  </si>
  <si>
    <t>1、高度:600mm
2、扶手材料种类、规格:口60x25x2不锈钢管
3、栏杆材料种类、规格:立杆口60x25x2不锈钢管、横杆口40x25x1.5不锈钢管
4、固定配件种类:预埋钢板120x120x8、不锈钢法兰盘                                        
5、具体做法详见招标图纸</t>
  </si>
  <si>
    <t>不锈钢栏杆-1100mm（配水井）</t>
  </si>
  <si>
    <t>1、高度:1100mm
2、扶手材料种类、规格:口60x25x2不锈钢管
3、栏杆材料种类、规格:立杆口60x25x2不锈钢管、横杆口40x25x1.5不锈钢管
4、固定配件种类:预埋钢板120x120x8、不锈钢法兰盘                                       
5、具体做法详见招标图纸</t>
  </si>
  <si>
    <t>不锈钢栏杆-1200mm（景观栏杆）</t>
  </si>
  <si>
    <t>G403/30/50WFG热浸锌钢格板（不设钢支架）</t>
  </si>
  <si>
    <t>1、G403/30/50WFG热浸锌钢格板             
2、φ8@500钢筋、预埋L45*3热镀锌角钢一周，70*3橡胶垫隔臭胶水粘接、通长                                                                                 3、具体做法详见招标图纸</t>
  </si>
  <si>
    <t>按设计深化图示尺寸以面积计算</t>
  </si>
  <si>
    <t>m2</t>
  </si>
  <si>
    <t>G403/30/50WFG热浸锌钢格板（设钢支架）</t>
  </si>
  <si>
    <t>1、G403/30/50WFG热浸锌钢格板             
2、90*90*3热镀锌方钢管,方钢管端头用3mm厚热锌钢板焊封堵,焊口需做二次防腐防锈                                3、4φ10锚筋满焊、160*120*8预埋钢板、U形承托钢板，突出锚面60，厚度8 ,钢板采用镀锌钢板                                   4、φ8@500钢筋、预埋L45*3热镀锌角钢一周，70*3橡胶垫隔臭胶水粘接、通长                                            5、具体做法详见招标图纸</t>
  </si>
  <si>
    <t>复合钢格板G403/30/50WFG热浸锌钢格栅（设钢支架）</t>
  </si>
  <si>
    <t>1、复合钢格板由G403/30/50WFG热浸锌钢格栅做底衬骨架,1.5mm厚镀锌花纹钢板做面板组成                        2、90*90*3热镀锌方钢管 方钢管端头用3mm厚热锌钢板焊封堵,焊口需做二次防腐防锈                                3、4φ10锚筋满焊、160*120*8预埋钢板、U形承托钢板，突出锚面60，厚度8                                    4、φ8@500钢筋、预埋L45*3热镀锌角钢一周、70*3橡胶垫隔臭胶水粘接、通长                                         5、具体做法详见招标图纸</t>
  </si>
  <si>
    <t>复合钢格板G403/30/50WFG热浸锌钢格栅（不设钢支架）</t>
  </si>
  <si>
    <t>1、复合钢格板由G403/30/50WFG热浸锌钢格栅做底衬骨架,1.5mm厚镀锌花纹钢板做面板组成                                                       2、4φ10锚筋满焊、160*120*8预埋钢板、U形承托钢板，突出锚面60，厚度8                                    3、φ8@500钢筋、预埋L45*3热镀锌角钢一周、70*3橡胶垫隔臭胶水粘接、通长                                         4、具体做法详见招标图纸</t>
  </si>
  <si>
    <t>G323/30/100WFG热浸锌钢格栅（不设钢支架）</t>
  </si>
  <si>
    <t>1、G323/30/100WFG热浸锌钢格板              
2、φ8@500钢筋、预埋L45*3热镀锌角钢一周，70*3橡胶垫隔臭胶水粘接、通长                                                                                     3、具体做法详见招标图纸</t>
  </si>
  <si>
    <t>复合钢格板G323/30/100WFG热浸锌钢格栅（不设钢支架）</t>
  </si>
  <si>
    <t>1、采用复合钢格板由G323/30/100WFG热浸锌钢格栅做底衬骨架,1.5mm厚镀锌花纹钢板做面板组成                                       2、φ8@500钢筋、预埋L45*3热镀锌角钢一周、70*3橡胶垫隔臭胶水粘接、通长                               3、具体做法详见招标图纸</t>
  </si>
  <si>
    <t>镀锌钢盖板（检查井）</t>
  </si>
  <si>
    <t>1、镀锌钢盖板、角钢制作安装                                                2、具体做法详见招标图纸</t>
  </si>
  <si>
    <t>厚度未明确</t>
  </si>
  <si>
    <t>混凝土预制盖板</t>
  </si>
  <si>
    <t>1、20cm厚盖板混凝土强度等级为C35,盖板尺寸可根据现场实际情况调整,但需保证盖板之间缝隙在5mm以内               
2、φ12吊钩与主筋焊接，预埋L50X3热镀锌角钢一周
锚筋φ8@500,L=100（盖板配筋详招标图纸）
3、水泥干粉表面随手抹光
4、具体做法详见招标图纸</t>
  </si>
  <si>
    <t>铸铁盖板（室外沉砂池）</t>
  </si>
  <si>
    <t xml:space="preserve">1、球墨铸铁井盖、角钢制作安装                               2、具体做法详见招标图纸  </t>
  </si>
  <si>
    <t>不锈钢检修门/盖（室外雨水阀门井）</t>
  </si>
  <si>
    <t xml:space="preserve">1、对开式不锈钢检修门(带锁),荷载:200kg/m2、角钢制作安装                                  2、具体做法详见招标图纸  </t>
  </si>
  <si>
    <t>成品雨水篦子（室外排水沟）</t>
  </si>
  <si>
    <t xml:space="preserve">1、成品雨水篦子、角钢制作安装                            2、具体做法详见招标图纸  </t>
  </si>
  <si>
    <t>钢化玻璃（景观水池）</t>
  </si>
  <si>
    <t xml:space="preserve">1、12+1.14pvb+12钢化夹胶安全玻璃
磨砂面，硅酮玻璃胶                                   2、具体做法详见招标图纸  </t>
  </si>
  <si>
    <t>钢结构树脂雨棚</t>
  </si>
  <si>
    <t>1、做法参照07SG528-1/23（含预埋件）                                                             2、具体做法详见招标图纸</t>
  </si>
  <si>
    <t>钢爬梯（下3-6级）</t>
  </si>
  <si>
    <t>1、钢爬梯宽度1-1.9m，每级宽260，高200-233                                   2、含预埋件                                    3、具体做法详见招标图纸</t>
  </si>
  <si>
    <t>按设计深化图示尺寸以投影面积计算</t>
  </si>
  <si>
    <t>做法不详</t>
  </si>
  <si>
    <t>屋面检修爬梯</t>
  </si>
  <si>
    <t>1、详国标15J401/D4                     
2、具体做法详见招标图纸</t>
  </si>
  <si>
    <t>按设计深化图示数量以米计算</t>
  </si>
  <si>
    <t>防撞角铁</t>
  </si>
  <si>
    <t>1、工程部位:距地面100mm设防撞保护角铁,高1200mm面刷黄黑相间警示油漆,位置详平面图。
2、L70x70X4t角铁φ10@300(L=100)                   3、具体做法详见招标图纸</t>
  </si>
  <si>
    <t>按设计深化图示数量以个计算</t>
  </si>
  <si>
    <t>个</t>
  </si>
  <si>
    <t>内墙与窗交接处防火封堵</t>
  </si>
  <si>
    <t>1、位置：C5232（高低压配电间及空压机房）                                            1、防火胶泥封堵-填满岩棉板-竖向轻钢龙骨（外刷涂防火涂料-10厚双层石膏板面自攻螺钉紧固-1.5厚通高槽铝收边-防火胶泥封堵                    
2、具体做法详见招标图纸</t>
  </si>
  <si>
    <t>按设计深化图纸框外围面积以“m”计算</t>
  </si>
  <si>
    <t>防鼠挡板</t>
  </si>
  <si>
    <t>1、名称：防鼠挡板
2、型号、规格：8mm硬塑板
3、高度：600mm</t>
  </si>
  <si>
    <t>不含税合计（元）</t>
  </si>
  <si>
    <r>
      <rPr>
        <sz val="9"/>
        <rFont val="宋体"/>
        <charset val="134"/>
        <scheme val="minor"/>
      </rPr>
      <t>税金（</t>
    </r>
    <r>
      <rPr>
        <u/>
        <sz val="9"/>
        <rFont val="宋体"/>
        <charset val="134"/>
        <scheme val="minor"/>
      </rPr>
      <t xml:space="preserve">      </t>
    </r>
    <r>
      <rPr>
        <sz val="9"/>
        <rFont val="宋体"/>
        <charset val="134"/>
        <scheme val="minor"/>
      </rPr>
      <t>%）（元）</t>
    </r>
  </si>
  <si>
    <t>含税合计（元）</t>
  </si>
  <si>
    <r>
      <rPr>
        <b/>
        <sz val="12"/>
        <rFont val="宋体"/>
        <charset val="134"/>
      </rPr>
      <t>备注：
1、以上价格为含税价，开具增值税专用发票（税率按国家政策执行，造价随之调整）。
2、材料品牌：钢材：宝武钢铁、河钢、鞍钢、沙钢、首钢，镀锌角铁：广钢、珠江、天津友发、华捷、金洲，五金配件：坚朗、汇泰龙、顶固、坚威、GMT、合和，球墨铸铁雨水篦子：永通、新兴、山东金岭。
3、除特别注明外，本工程采用的不锈钢构件均采用 SUS304#规格;
4、乙方报价已充分理解并考虑招标文件中的工期要求，并在报价中充分考虑工期风险，我方不再因工期事宜作出费用补偿，而因承包商原因造成工期延误，我方将会按合同约定处理；（包含且不限于常规天气原因造成、疫情带来的工期影响。）
5、乙方投标报价已考虑包含不仅限于自己范围内产生的所有建筑垃圾的外运及处理；
6、本工程甲方不提供任何材料，乙方提供材料必须为国标材料，且需提供相关资料包含且不限于合格证、检测报告等；                                                                     
7、以上内容包括但不限施工图范围内除专业分包以外的所有内容，投标方熟悉图纸，所有内容综合考虑；
8、本清单未注明的承包内容，详见合同相应条款；
9、价格已包含任何情况下项目部要求的加班、质量不合格导致的返工费用；
10、其他费用D：包含机械费、措施费、管理费、利润等除主材、辅材、人工费及税金以外的其他所有费用。
11、合同外增加签证、变更工程，因本工程之设计变更引起的签证、变更增加工程，无论工程量大小，乙方须无条件配合甲方完成，其计量及计价依据合同条款约定计算。
12、报价单位包图纸深化设计，深化设计后施工图纸需得到甲方及建设单位认可，
13、本次招标清单编制依据：广州市创景市政工程设计有限公司提供的《东莞市常平镇环保专业基地洗水、印花污水处理厂3号水池》（出图日期：2025.03）施工图、交楼标准（2025年6月13日）及施工图设计文件会审记录、水电材料品牌联系函【RJGC-20250709-1310】。
14、报价有效期：</t>
    </r>
    <r>
      <rPr>
        <b/>
        <sz val="12"/>
        <color rgb="FFFF0000"/>
        <rFont val="宋体"/>
        <charset val="134"/>
      </rPr>
      <t>自报价之日起</t>
    </r>
    <r>
      <rPr>
        <b/>
        <u/>
        <sz val="12"/>
        <color rgb="FFFF0000"/>
        <rFont val="宋体"/>
        <charset val="134"/>
      </rPr>
      <t xml:space="preserve">  90  </t>
    </r>
    <r>
      <rPr>
        <b/>
        <sz val="12"/>
        <color rgb="FFFF0000"/>
        <rFont val="宋体"/>
        <charset val="134"/>
      </rPr>
      <t>个日历天内有效</t>
    </r>
    <r>
      <rPr>
        <b/>
        <sz val="12"/>
        <rFont val="宋体"/>
        <charset val="134"/>
      </rPr>
      <t>。</t>
    </r>
  </si>
  <si>
    <t>铝合金门窗工程报价清单（包工包料）</t>
  </si>
  <si>
    <t>除主材、人工、辅材、税金以外的其他费用E
（元）</t>
  </si>
  <si>
    <t>主材费1
铝材</t>
  </si>
  <si>
    <t>主材费2
玻璃</t>
  </si>
  <si>
    <t>防风雨铝合金百叶窗</t>
  </si>
  <si>
    <t>1、门代号及洞口尺寸:BYC9025、BYC3625、BYC5132                                    2、框、扇材质:节能型铝合金窗型材（粉末静电喷涂灰色铝合金窗(成品)）防风雨百叶窗                                               3、含五金配件及其它配件                  4、具体做法详见招标图纸</t>
  </si>
  <si>
    <t>按设计深化图纸框外围面积以“m2”计算</t>
  </si>
  <si>
    <t>空调机位百叶</t>
  </si>
  <si>
    <t>1、□50X50X1.2铁艺空调格栅立柱防锈漆颜色同墙面(米白色)
2、□50X50X0.8铁艺空调格栅横杆,间隔60布置防锈漆颜色同墙面(米白色)                 3、立杆预埋件做法参1005ZJ401-10/30
4、含五金配件及其它配件，电焊连接(余同)防锈漆颜色同墙面(深灰色)
5、具体做法详见招标图纸</t>
  </si>
  <si>
    <t>铝合金上悬窗</t>
  </si>
  <si>
    <t>1、框、扇材质:节能型铝合金窗型材(粉末静电喷涂灰色铝合金窗框)外窗壁厚≥1.8mm，内窗壁厚≥1.4mm
2、玻璃品种、厚度:6mm白色普通玻璃，单块&gt;1.5m2的窗玻璃或底边离最低装修面&lt;500mm的窗采用安全玻璃
3、含五金配件及其它配件
4、具体做法详见招标图纸</t>
  </si>
  <si>
    <t>铝合金推拉窗</t>
  </si>
  <si>
    <t>铝合金组合窗-推拉窗+固定窗</t>
  </si>
  <si>
    <t>铝合金组合窗-固定窗+防风雨百叶</t>
  </si>
  <si>
    <t>铝合金组合窗-上悬窗+固定窗</t>
  </si>
  <si>
    <t>铝合金组合窗-上悬窗+防风雨百叶（配不锈钢丝防虫网）</t>
  </si>
  <si>
    <t>1、框、扇材质:节能型铝合金门窗型材(粉末静电喷涂灰色铝合金窗框门框
)外窗壁厚≥1.8mm，内窗壁厚≥1.4mm
2、玻璃品种、厚度:6mm白色普通玻璃，单块&gt;1.5m2的窗玻璃或底边离最低装修面&lt;500mm的窗采用安全玻璃
3、含五金配件及其它配件
4、具体做法详见招标图纸</t>
  </si>
  <si>
    <t>铝合金组合窗-上悬窗+固定窗+防风雨百叶（配不锈钢丝防虫网）</t>
  </si>
  <si>
    <t>铝合金组合窗-上悬窗+固定窗+防风雨百叶（配不锈钢丝防虫网，带消防救援窗）</t>
  </si>
  <si>
    <t>门联窗</t>
  </si>
  <si>
    <t xml:space="preserve">1、门代号及洞口尺寸:ML1                    2、节能型铝合金门窗型材（粉末喷涂灰色铝合金框推拉窗）+钢板门(成品)                                      3、具体做法详见招标图纸 </t>
  </si>
  <si>
    <t>按设计深化图示数量以樘计算</t>
  </si>
  <si>
    <t>樘</t>
  </si>
  <si>
    <t>铝合金组合窗-固定窗+防风雨百叶（配不锈钢丝防虫网）</t>
  </si>
  <si>
    <t>手动开启装置</t>
  </si>
  <si>
    <t>1.平开窗手动开启装置，含手摇上下机、长曲臂组件、水管等配件(以便在高位不便于直接开启的窗，应设置距地面高度1.3m~1.5m的手动开启装置。）
2、托数综合考虑
3、含五金配件及其它配件
4、具体做法详见招标图纸</t>
  </si>
  <si>
    <t>按实际安装套数计算</t>
  </si>
  <si>
    <t>套</t>
  </si>
  <si>
    <t>防鼠网</t>
  </si>
  <si>
    <t>1、材质：不锈钢，孔径不大于10mm*10mm
2、具体做法详见招标图纸</t>
  </si>
  <si>
    <t>按实际发生工程量计算</t>
  </si>
  <si>
    <t>电房的通风百叶窗、可开启的窗户和风机孔处</t>
  </si>
  <si>
    <r>
      <rPr>
        <b/>
        <sz val="12"/>
        <rFont val="宋体"/>
        <charset val="134"/>
      </rPr>
      <t>备注：
1、以上价格为含税价，开具增值税专用发票（税率按国家政策执行，造价随之调整）。
2、材料品牌：铝型材：凤铝、坚美、亚铝、广铝、中铝，玻璃（南玻、中玻、信义、皇冠），玻璃胶（白云、安泰、GE瓦克、汉高百得、DowCorning、硅宝、乐邦士、快事达、恒信），防水胶条（广州白云、道康宁、安泰、之江、元通奋发、窗友）五金配件：坚朗、汇泰龙、顶固、坚威、GMT、合和。
3、本工程无甲供材料，由报价单位包工包料完成。
4、聚合物水泥防水砂浆性能应满足规范 GB55030-2022对抗渗压力、粘接强度、抗冻性、吸水率的要求;
5、单价包括但不限于铝合金门窗制作、安装、聚合物水泥防水砂浆塞缝、门窗边做收口前防水处理及门窗边刷防水（防水材料包工包料，收口工作由总包单位施工）、打密封胶、成品保护费用等，具体做法详见施工图纸及施工方案要求，其单价为包含完成该分项工程的所有工序工作，不限于所列内容，材料须符合甲方及达到国家使用标准。
6、乙方报价已充分理解并考虑招标文件中的工期要求，并在报价中充分考虑工期风险，我方不再因工期事宜作出费用补偿，而因承包商原因造成工期延误，我方将会按合同约定处理；（包含且不限于常规天气原因造成、疫情带来的工期影响。）
7、乙方投标报价已考虑包含不仅限于自己范围内产生的所有建筑垃圾的外运及处理；
8、本工程甲方不提供任何材料，乙方提供材料必须为国标材料，且需提供相关资料包含且不限于合格证、检测报告等；                                                                     
9、以上内容包括但不限施工图范围内除专业分包以外的所有内容，投标方熟悉图纸，所有内容综合考虑；
10、本清单未注明的承包内容，详见合同相应条款；
11、价格已包含任何情况下项目部要求的加班、质量不合格导致的返工费用；
12、其他费用D：包含机械费、措施费、管理费、利润等除主材、辅材、人工费及税金以外的其他所有费用。
13、合同外增加签证、变更工程，因本工程之设计变更引起的签证、变更增加工程，无论工程量大小，乙方须无条件配合甲方完成，其计量及计价依据合同条款约定计算。
14、报价单位包图纸深化设计，深化设计后施工图纸需得到甲方及建设单位认可，
15、本次招标清单编制依据：广州市创景市政工程设计有限公司提供的《东莞市常平镇环保专业基地洗水、印花污水处理厂3号水池》（出图日期：2025.03）施工图、交楼标准（2025年6月13日）及施工图设计文件会审记录、水电材料品牌联系函【RJGC-20250709-1310】。
16、报价有效期：</t>
    </r>
    <r>
      <rPr>
        <b/>
        <sz val="12"/>
        <color rgb="FFFF0000"/>
        <rFont val="宋体"/>
        <charset val="134"/>
      </rPr>
      <t>自报价之日起</t>
    </r>
    <r>
      <rPr>
        <b/>
        <u/>
        <sz val="12"/>
        <color rgb="FFFF0000"/>
        <rFont val="宋体"/>
        <charset val="134"/>
      </rPr>
      <t xml:space="preserve">  90  </t>
    </r>
    <r>
      <rPr>
        <b/>
        <sz val="12"/>
        <color rgb="FFFF0000"/>
        <rFont val="宋体"/>
        <charset val="134"/>
      </rPr>
      <t>个日历天内有效。</t>
    </r>
  </si>
  <si>
    <t>需与项目部确认聚合物水泥防水砂浆是否由中泰提供？</t>
  </si>
  <si>
    <t>厂区大门工程报价清单（包工包料）</t>
  </si>
  <si>
    <t>成品不锈钢车行道闸</t>
  </si>
  <si>
    <t>1、位置：厂区大门                      
2、具体做法详见招标图纸</t>
  </si>
  <si>
    <t>按设计深化图“个”计算</t>
  </si>
  <si>
    <t>成品不锈钢人行闸机</t>
  </si>
  <si>
    <t>1.2厚不锈钢板,贴墙白色字体（含标志图案）</t>
  </si>
  <si>
    <t>1、位置：厂区大门                            2、字高500,厚度30字间距45内藏Led灯带，（专业厂家二次深化设计）                            2、具体做法详见招标图纸</t>
  </si>
  <si>
    <t>按深化设计图以“个”计算</t>
  </si>
  <si>
    <t>1.2厚不锈钢板,贴墙白色字体</t>
  </si>
  <si>
    <t>1、位置：厂区大门                            2、字高300,厚度30字间距30内藏Led灯带，（专业厂家二次深化设计）                            2、具体做法详见招标图纸</t>
  </si>
  <si>
    <r>
      <rPr>
        <b/>
        <sz val="12"/>
        <rFont val="宋体"/>
        <charset val="134"/>
      </rPr>
      <t>备注：
1、乙方报价已充分理解并考虑招标文件中的工期要求，并在报价中充分考虑工期风险，我方不再因工期事宜作出费用补偿，而因承包商原因造成工期延误，我方将会按合同约定处理；（包含且不限于常规天气原因造成、疫情带来的工期影响。）
2、乙方投标报价已考虑包含不仅限于自己范围内产生的所有建筑垃圾的外运及处理；
3、本工程甲方不提供任何材料，乙方提供材料必须为国标材料，且需提供相关资料包含且不限于合格证、检测报告等；                                                                     
4、以上内容包括但不限施工图范围内除专业分包以外的所有内容，投标方熟悉图纸，所有内容综合考虑；
5、本清单未注明的承包内容，详见合同相应条款；
6、价格已包含任何情况下项目部要求的加班、质量不合格导致的返工费用；
7、其他费用D：包含机械费、措施费、管理费、利润等除主材、辅材、人工费及税金以外的其他所有费用。
8、合同外增加签证、变更工程，因本工程之设计变更引起的签证、变更增加工程，无论工程量大小，乙方须无条件配合甲方完成，其计量及计价依据合同条款约定计算。
9、报价单位包图纸深化设计，深化设计后施工图纸需得到甲方及建设单位认可，
10、本次招标清单编制依据：广州市创景市政工程设计有限公司提供的《东莞市常平镇环保专业基地洗水、印花污水处理厂3号水池》（出图日期：2025.03）施工图、交楼标准（2025年6月13日）及施工图设计文件会审记录、水电材料品牌联系函【RJGC-20250709-1310】。
11、</t>
    </r>
    <r>
      <rPr>
        <b/>
        <sz val="12"/>
        <color rgb="FFFF0000"/>
        <rFont val="宋体"/>
        <charset val="134"/>
      </rPr>
      <t>报价有效期：自报价之日起</t>
    </r>
    <r>
      <rPr>
        <b/>
        <u/>
        <sz val="12"/>
        <color rgb="FFFF0000"/>
        <rFont val="宋体"/>
        <charset val="134"/>
      </rPr>
      <t xml:space="preserve">  90  </t>
    </r>
    <r>
      <rPr>
        <b/>
        <sz val="12"/>
        <color rgb="FFFF0000"/>
        <rFont val="宋体"/>
        <charset val="134"/>
      </rPr>
      <t>个日历天内有效。</t>
    </r>
  </si>
  <si>
    <t>栏杆及其他五金工程报价清单（包工包料）</t>
  </si>
  <si>
    <t>工程名称：常平3号水池</t>
  </si>
  <si>
    <t>除主材、人工费、税金以外的其他费用D（元）</t>
  </si>
  <si>
    <t>不含含税
综合单价E=B+C+D
（元）</t>
  </si>
  <si>
    <t>不含税
综合合价F=A*E
（元）</t>
  </si>
  <si>
    <t>建筑内部池边防护栏杆（高密度沉淀池、平流沉淀池、高低压配电间、管廊）</t>
  </si>
  <si>
    <t>1、高度:1100mm
2、扶手材料种类、规格:60x25x2不锈钢管
3、栏杆材料种类、规格:立杆60x25x2不锈钢管、横杆40x25x1.5不锈钢管
4、固定配件种类:预埋钢板120x120x8、不锈钢法兰盘                                 5、具体做法详见招标图纸</t>
  </si>
  <si>
    <t>按设计图示数量以米计算</t>
  </si>
  <si>
    <t>不锈钢可拆卸防护栏杆</t>
  </si>
  <si>
    <t xml:space="preserve">1、高度:1200mm
2、扶手材料种类、规格:60x25x2不锈钢管
3、栏杆材料种类、规格:立杆60x25x2不锈钢管、横杆40x25x1.5不锈钢管
4、固定配件种类:预埋钢板120x120x8、不锈钢法兰盘                  5、具体做法详见招标图纸
</t>
  </si>
  <si>
    <t>建筑外围不锈钢栏杆（屋面、建筑外墙、LT01、LT03、）</t>
  </si>
  <si>
    <t>1、高度:1200mm
2、扶手材料种类、规格:60x25x3不锈钢管
3、栏杆材料种类、规格:立杆60x25x3不锈钢管、横杆
40x25x2不锈钢管、立杆20x20x1.5不锈钢管
4、固定配件种类:预埋钢板120x120x8、不锈钢法兰盘         5、具体做法详见招标图纸</t>
  </si>
  <si>
    <t>护窗栏杆</t>
  </si>
  <si>
    <t>1、高度:1100mm
2、扶手材料种类、规格:φ50*1.5不锈钢管
3、栏杆材料种类、规格:立杆φ20*1.5@110不锈钢管
4、固定配件种类:预埋钢板通长、不锈钢法兰盘                                     5、详图集22J403-1/4-24页/HC7              6、具体做法详见招标图纸</t>
  </si>
  <si>
    <t>玻璃栏杆</t>
  </si>
  <si>
    <t>1、栏杆玻璃的种类、规格、颜色:12.76厚钢化夹层玻璃
2、扶手材料种类:80*50拉丝不锈钢椭圆管扶手
3、立柱材料种类:60*3方钢管立柱                               4、详图集22J403-1/3-57页/PC5             5、具体做法详见招标图纸</t>
  </si>
  <si>
    <t>围挡不锈钢栏杆(好氧池)</t>
  </si>
  <si>
    <t>1、高度:600mm
2、扶手材料种类、规格:60x25x2不锈钢管
3、栏杆材料种类、规格:立杆60x25x2不锈钢管、横杆40x25x1.5不锈钢管
4、固定配件种类:预埋钢板120x120x8、不锈钢法兰盘                                        5、具体做法详见招标图纸</t>
  </si>
  <si>
    <t>不锈钢栏杆（配水井）</t>
  </si>
  <si>
    <t>1、高度:1100mm
2、扶手材料种类、规格:60x25x2不锈钢管
3、栏杆材料种类、规格:立杆60x25x2不锈钢管、横杆40x25x1.5不锈钢管
4、固定配件种类:预埋钢板120x120x8、不锈钢法兰盘                                        5、具体做法详见招标图纸</t>
  </si>
  <si>
    <t>不锈钢栏杆（景观栏杆）</t>
  </si>
  <si>
    <t>G403/30/50WFG热浸锌钢格板</t>
  </si>
  <si>
    <t>1、G403/30/50WFG热浸锌钢格板              2、φ8@500钢筋、预埋L45*3热镀锌角钢一周                                                                 3、具体做法详见招标图纸</t>
  </si>
  <si>
    <t>按设计图示尺寸以面积计算</t>
  </si>
  <si>
    <t>1、G403/30/50WFG热浸锌钢格板              2、90*90*3热镀锌方钢管 方钢管端头用3mm厚热锌钢板焊封堵,焊口需做二次防腐防锈                                3、4φ10锚筋满焊、160*120*8预埋钢板、U形承托钢板，突出锚面60，厚度8                                    4、φ8@500钢筋、预埋L45*3热镀锌角钢一周                           5、具体做法详见招标图纸</t>
  </si>
  <si>
    <t>长度</t>
  </si>
  <si>
    <t>G323/30/100WFG热浸锌钢格栅</t>
  </si>
  <si>
    <t>1、G323/30/100WFG热浸锌钢格板              2、φ8@500钢筋、预埋L45*3热镀锌角钢一周                                                                 3、具体做法详见招标图纸</t>
  </si>
  <si>
    <t>复合钢格板G323/30/100WFG热浸锌钢格栅</t>
  </si>
  <si>
    <t>玻璃钢格栅盖板</t>
  </si>
  <si>
    <t>1、玻璃钢格栅盖板</t>
  </si>
  <si>
    <t>1、做法参照07SG528-1/23                                          2、具体做法详见招标图纸</t>
  </si>
  <si>
    <t>1、钢爬梯宽度1-1.9m，每级宽260，高200-233                                   2、工程量按投影面积计算               3、具体做法详见招标图纸</t>
  </si>
  <si>
    <t>1、详国标15J401/D4                     2、具体做法详见招标图纸</t>
  </si>
  <si>
    <t>按设计图示数量以个计算</t>
  </si>
  <si>
    <t>钢制电动卷帘门</t>
  </si>
  <si>
    <t>1、门代号及洞口尺寸:DJLM3839、DJLM3841、DJLM3850、DJLM4241、DJLM5041
2、门材质:卷帘门采用304材质,导轨1.5mmSUS304不锈钢,帘片(0.8mSUS304不锈钢+硅酸铝纤维毡刺毯+0.8mm304不锈钢钢板),包厢板0.6mm304不锈钢                             3、具体做法详见招标图纸</t>
  </si>
  <si>
    <t>丙级钢质防火门</t>
  </si>
  <si>
    <t>1、门代号及洞口尺寸:FM丙0722            2、具体做法详见招标图纸</t>
  </si>
  <si>
    <t>甲级钢质防火门</t>
  </si>
  <si>
    <t>1、门代号及洞口尺寸:FM甲1025            2、具体做法详见招标图纸</t>
  </si>
  <si>
    <t>乙级钢质防火门</t>
  </si>
  <si>
    <t>1、门代号及洞口尺寸:FM乙1322、 FM乙1525、                                 2、具体做法详见招标图纸</t>
  </si>
  <si>
    <t>成品钢板门(颜色同立面)</t>
  </si>
  <si>
    <t>1、门代号及洞口尺寸:成品钢板门        2、具体做法详见招标图纸</t>
  </si>
  <si>
    <t>金属百叶窗</t>
  </si>
  <si>
    <t>1、门代号及洞口尺寸:BYC9025、BYC3625                                    2、节能型铝合金门窗型材（粉末静电喷涂灰色铝合金窗(成品)）防风雨百叶窗                                         3、具体做法详见招标图纸</t>
  </si>
  <si>
    <t>铝合金组合窗-固定窗+铝合金防雨百叶</t>
  </si>
  <si>
    <t>铝合金组合窗-上悬窗+铝合金防雨百叶（配不锈钢丝防虫网）</t>
  </si>
  <si>
    <t>铝合金组合窗-上悬窗+固定窗+单层防雨百叶（配不锈钢丝防虫网）</t>
  </si>
  <si>
    <t>铝合金组合窗-上悬窗+固定窗+单层防雨百叶（配不锈钢丝防虫网，带消防救援窗）</t>
  </si>
  <si>
    <t>铝合金组合窗</t>
  </si>
  <si>
    <t>1、门代号及洞口尺寸:C3932               2、节能型铝合金门窗型材（粉末静电喷涂灰色铝合金窗）(成品)                                                                                                                    4、具体做法详见招标图纸</t>
  </si>
  <si>
    <t>上+固</t>
  </si>
  <si>
    <t>1、门代号及洞口尺寸:C4732           2、节能型铝合金门窗型材（粉末静电喷涂灰色铝合金窗(成品) ）                                       3、具体做法详见招标图纸</t>
  </si>
  <si>
    <t>上+固+百叶+不锈钢</t>
  </si>
  <si>
    <t>1、门窗代号及洞口尺寸:C5232
2、粉末静电喷涂灰色铝合金窗(成品)
3、铝合金防雨百叶，单层防雨百叶风口(排风)配不锈钢丝防虫网          4、具体做法详见招标图纸</t>
  </si>
  <si>
    <t>1、门窗代号及洞口尺寸:C5532
2、节能型铝合金门窗型材（粉末静电喷涂灰色铝合金窗）(成品)
3、铝合金防雨百叶，单层防雨百叶风口(排风)配不锈钢丝防虫网          4、具体做法详见招标图纸</t>
  </si>
  <si>
    <t>1、门窗代号及洞口尺寸:C4221
2、节能型铝合金门窗型材（粉末静电喷涂灰色铝合金窗）(成品)                                     3、具体做法详见招标图纸</t>
  </si>
  <si>
    <t>1、门窗代号及洞口尺寸:C4721
2、节能型铝合金门窗型材（粉末静电喷涂灰色铝合金窗）(成品)                                     3、具体做法详见招标图纸</t>
  </si>
  <si>
    <t>1、门窗代号及洞口尺寸:C5221
2、节能型铝合金门窗型材（粉末静电喷涂灰色铝合金窗）(成品)                                      3、具体做法详见招标图纸</t>
  </si>
  <si>
    <t>上悬</t>
  </si>
  <si>
    <t>1、门窗代号及洞口尺寸:C5521
2、节能型铝合金门窗型材（粉末静电喷涂灰色铝合金窗）(成品)                                      3、具体做法详见招标图纸</t>
  </si>
  <si>
    <t>1、门窗代号及洞口尺寸:C2249
2、节能型铝合金门窗型材（粉末静电喷涂灰色铝合金窗）(成品)                                     3、具体做法详见招标图纸</t>
  </si>
  <si>
    <t>1、门窗代号及洞口尺寸:C4238
2、节能型铝合金门窗型材（粉末静电喷涂灰色铝合金窗）(成品)                                      3、具体做法详见招标图纸</t>
  </si>
  <si>
    <t>固+百叶</t>
  </si>
  <si>
    <t>1、门窗代号及洞口尺寸:C4738
2、节能型铝合金门窗型材（粉末静电喷涂灰色铝合金窗）(成品)
3、铝合金防雨百叶，单层防雨百叶风口(排风)配不锈钢丝防虫网          4、具体做法详见招标图纸</t>
  </si>
  <si>
    <t>1、门窗代号及洞口尺寸:C5238
2、节能型铝合金门窗型材（粉末静电喷涂灰色铝合金窗）(成品)
3、具体做法详见招标图纸</t>
  </si>
  <si>
    <t>1、门窗代号及洞口尺寸:C5538
2、节能型铝合金门窗型材（粉末静电喷涂灰色铝合金窗）(成品)
3、铝合金防雨百叶，单层防雨百叶风口(排风)配不锈钢丝防虫网          4、具体做法详见招标图纸</t>
  </si>
  <si>
    <t>上悬+百叶+不锈钢</t>
  </si>
  <si>
    <t>1、门窗代号及洞口尺寸:C5249
2、节能型铝合金门窗型材（粉末静电喷涂灰色铝合金窗）(成品)
3、具体做法详见招标图纸</t>
  </si>
  <si>
    <t>1、门窗代号及洞口尺寸:C2226
2、节能型铝合金门窗型材（粉末静电喷涂灰色铝合金窗）(成品)
3、具体做法详见招标图纸</t>
  </si>
  <si>
    <t>1、门窗代号及洞口尺寸:C4726
2、节能型铝合金门窗型材（粉末静电喷涂灰色铝合金窗）(成品)
3、铝合金防雨百叶，单层防雨百叶风口(排风)配不锈钢丝防虫网          4、具体做法详见招标图纸</t>
  </si>
  <si>
    <t>1、门窗代号及洞口尺寸:C5226
2、节能型铝合金门窗型材（粉末静电喷涂灰色铝合金窗）(成品)
3、具体做法详见招标图纸</t>
  </si>
  <si>
    <t>1、门窗代号及洞口尺寸:C1820
2、节能型铝合金门窗型材（粉末静电喷涂灰色铝合金窗）(成品)                3、预留双层百叶窗口300*300                      
4、具体做法详见招标图纸</t>
  </si>
  <si>
    <t>推拉+固定</t>
  </si>
  <si>
    <t>1、门窗代号及洞口尺寸:C2239
2、节能型铝合金门窗型材（粉末静电喷涂灰色铝合金窗）(成品)
3、具体做法详见招标图纸</t>
  </si>
  <si>
    <t>1、门窗代号及洞口尺寸:C5239
2、节能型铝合金门窗型材（粉末静电喷涂灰色铝合金窗）(成品)
3、具体做法详见招标图纸</t>
  </si>
  <si>
    <t>1、门窗代号及洞口尺寸:C5533
2、节能型铝合金门窗型材（粉末静电喷涂灰色铝合金窗）(成品)
3、铝合金防雨百叶，单层防雨百叶风口(排风)配不锈钢丝防虫网          4、具体做法详见招标图纸</t>
  </si>
  <si>
    <t>1、门窗代号及洞口尺寸:JYC4733
2、节能型铝合金门窗型材（粉末静电喷涂灰色铝合金窗）(成品)
3、铝合金防雨百叶，单层防雨百叶风口(排风)配不锈钢丝防虫网
4、消防救援窗                                     5、具体做法详见招标图纸</t>
  </si>
  <si>
    <t>上+固+百叶+不锈钢+消防</t>
  </si>
  <si>
    <t>1、门窗代号及洞口尺寸:JYC5233
2、节能型铝合金门窗型材（粉末静电喷涂灰色铝合金窗）(成品)
3、铝合金防雨百叶，单层防雨百叶风口(排风)配不锈钢丝防虫网
4、消防救援窗                                     5、具体做法详见招标图纸</t>
  </si>
  <si>
    <t>1、门窗代号及洞口尺寸:C2014
2、节能型铝合金门窗型材（粉末静电喷涂灰色铝合金窗）(成品)
3、具体做法详见招标图纸</t>
  </si>
  <si>
    <t>推拉</t>
  </si>
  <si>
    <t>不含税合计</t>
  </si>
  <si>
    <r>
      <rPr>
        <sz val="9"/>
        <color theme="1"/>
        <rFont val="宋体"/>
        <charset val="134"/>
        <scheme val="minor"/>
      </rPr>
      <t>税金（</t>
    </r>
    <r>
      <rPr>
        <u/>
        <sz val="9"/>
        <color theme="1"/>
        <rFont val="宋体"/>
        <charset val="134"/>
        <scheme val="minor"/>
      </rPr>
      <t xml:space="preserve">      </t>
    </r>
    <r>
      <rPr>
        <sz val="9"/>
        <color theme="1"/>
        <rFont val="宋体"/>
        <charset val="134"/>
        <scheme val="minor"/>
      </rPr>
      <t>%）</t>
    </r>
  </si>
  <si>
    <t>含税合计</t>
  </si>
  <si>
    <t>备注：
1、乙方报价已充分理解并考虑招标文件中的工期要求，并在报价中充分考虑工期风险，我方不再因工期事宜作出费用补偿，而因承包商原因造成工期延误，我方将会按合同约定处理；（包含且不限于常规天气原因造成、疫情带来的工期影响。）
2、乙方投标报价已考虑包含不仅限于自己范围内产生的所有建筑垃圾的外运及处理；
3、中泰公司不提供任何材料，乙方提供材料必须为国标材料，且需提供相关资料包含且不限于合格证、检测报告等；                                                   4、门窗工程使用的玻璃产品为:6mm白色普通玻璃，单块&gt;1.5m2的窗玻璃或底边离最低装修面&lt;500mm的窗玻璃采用建筑安全玻璃，含五金配件及其它，具体详招标图纸；                      5、内墙与窗交接处防火封堵，施工顺序：防火胶泥封堵-填满岩棉板-竖向轻钢龙骨（外刷涂防火涂料-10厚双层石膏板面自攻螺钉紧固-1.5厚通高槽铝收边-防火胶泥封堵）
5、以上内容包括但不限施工图范围内除专业分包以外的所有内容，投标方熟悉图纸，所有内容综合考虑；
6、本清单未注明的承包内容，详见合同相应条款；
7、价格已包含任何情况下项目部要求的加班、质量不合格导致的返工费用；
8、其他费用D：包含辅材、机械费、措施费、管理费、利润等除主材、人工费及税金以外的其他所有费用。
9、合同外增加签证、变更工程，因本工程之设计变更引起的签证、变更增加工程，无论工程量大小，乙方须无条件配合甲方完成，其计量及计价依据合同条款约定计算。</t>
  </si>
  <si>
    <t>固定+百叶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</si>
</sst>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 @"/>
  </numFmts>
  <fonts count="41">
    <font>
      <sz val="11"/>
      <color theme="1"/>
      <name val="宋体"/>
      <charset val="134"/>
      <scheme val="minor"/>
    </font>
    <font>
      <b/>
      <sz val="14"/>
      <color theme="1"/>
      <name val="宋体"/>
      <charset val="134"/>
      <scheme val="minor"/>
    </font>
    <font>
      <sz val="9"/>
      <color theme="1"/>
      <name val="宋体"/>
      <charset val="134"/>
      <scheme val="minor"/>
    </font>
    <font>
      <b/>
      <sz val="20"/>
      <name val="华文中宋"/>
      <charset val="134"/>
    </font>
    <font>
      <b/>
      <sz val="14"/>
      <name val="宋体"/>
      <charset val="134"/>
    </font>
    <font>
      <sz val="10"/>
      <name val="宋体"/>
      <charset val="134"/>
    </font>
    <font>
      <b/>
      <sz val="12"/>
      <name val="宋体"/>
      <charset val="134"/>
    </font>
    <font>
      <b/>
      <sz val="14"/>
      <name val="宋体"/>
      <charset val="134"/>
      <scheme val="minor"/>
    </font>
    <font>
      <sz val="9"/>
      <name val="宋体"/>
      <charset val="134"/>
      <scheme val="minor"/>
    </font>
    <font>
      <sz val="11"/>
      <name val="宋体"/>
      <charset val="134"/>
    </font>
    <font>
      <strike/>
      <u val="double"/>
      <sz val="9"/>
      <name val="宋体"/>
      <charset val="134"/>
    </font>
    <font>
      <b/>
      <sz val="16"/>
      <name val="宋体"/>
      <charset val="134"/>
      <scheme val="minor"/>
    </font>
    <font>
      <b/>
      <sz val="11"/>
      <name val="宋体"/>
      <charset val="134"/>
      <scheme val="minor"/>
    </font>
    <font>
      <sz val="11"/>
      <name val="宋体"/>
      <charset val="134"/>
      <scheme val="minor"/>
    </font>
    <font>
      <b/>
      <sz val="12"/>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name val="宋体"/>
      <charset val="134"/>
      <scheme val="minor"/>
    </font>
    <font>
      <u/>
      <sz val="9"/>
      <color theme="1"/>
      <name val="宋体"/>
      <charset val="134"/>
      <scheme val="minor"/>
    </font>
    <font>
      <b/>
      <sz val="12"/>
      <color rgb="FFFF0000"/>
      <name val="宋体"/>
      <charset val="134"/>
    </font>
    <font>
      <b/>
      <u/>
      <sz val="12"/>
      <color rgb="FFFF0000"/>
      <name val="宋体"/>
      <charset val="134"/>
    </font>
    <font>
      <b/>
      <sz val="12"/>
      <name val="Calibri"/>
      <charset val="134"/>
    </font>
    <font>
      <b/>
      <sz val="9"/>
      <name val="宋体"/>
      <charset val="134"/>
    </font>
    <font>
      <sz val="9"/>
      <name val="宋体"/>
      <charset val="134"/>
    </font>
  </fonts>
  <fills count="35">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6" borderId="7" applyNumberFormat="0" applyAlignment="0" applyProtection="0">
      <alignment vertical="center"/>
    </xf>
    <xf numFmtId="0" fontId="24" fillId="7" borderId="8" applyNumberFormat="0" applyAlignment="0" applyProtection="0">
      <alignment vertical="center"/>
    </xf>
    <xf numFmtId="0" fontId="25" fillId="7" borderId="7" applyNumberFormat="0" applyAlignment="0" applyProtection="0">
      <alignment vertical="center"/>
    </xf>
    <xf numFmtId="0" fontId="26" fillId="8"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2"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2" fillId="0" borderId="0"/>
  </cellStyleXfs>
  <cellXfs count="58">
    <xf numFmtId="0" fontId="0" fillId="0" borderId="0" xfId="0">
      <alignment vertical="center"/>
    </xf>
    <xf numFmtId="0" fontId="1" fillId="0" borderId="0" xfId="49" applyFont="1" applyFill="1" applyAlignment="1">
      <alignment vertical="center"/>
    </xf>
    <xf numFmtId="0" fontId="2" fillId="0" borderId="1" xfId="49" applyFont="1" applyFill="1" applyBorder="1" applyAlignment="1">
      <alignment horizontal="center"/>
    </xf>
    <xf numFmtId="0" fontId="2" fillId="0" borderId="1" xfId="49" applyFont="1" applyFill="1" applyBorder="1"/>
    <xf numFmtId="0" fontId="2" fillId="0" borderId="0" xfId="49" applyFill="1"/>
    <xf numFmtId="0" fontId="2" fillId="0" borderId="0" xfId="49" applyFill="1" applyAlignment="1">
      <alignment horizontal="left"/>
    </xf>
    <xf numFmtId="176" fontId="2" fillId="0" borderId="0" xfId="49" applyNumberFormat="1" applyFill="1" applyAlignment="1">
      <alignment horizontal="center"/>
    </xf>
    <xf numFmtId="0" fontId="2" fillId="0" borderId="0" xfId="49" applyFill="1" applyAlignment="1">
      <alignment horizontal="center"/>
    </xf>
    <xf numFmtId="0" fontId="3" fillId="0" borderId="0" xfId="49" applyFont="1" applyFill="1" applyAlignment="1">
      <alignment horizontal="center" vertical="center" wrapText="1"/>
    </xf>
    <xf numFmtId="0" fontId="3" fillId="0" borderId="0" xfId="49" applyFont="1" applyFill="1" applyAlignment="1">
      <alignment horizontal="left" vertical="center" wrapText="1"/>
    </xf>
    <xf numFmtId="176" fontId="3" fillId="0" borderId="0" xfId="49" applyNumberFormat="1" applyFont="1" applyFill="1" applyAlignment="1">
      <alignment horizontal="center" vertical="center" wrapText="1"/>
    </xf>
    <xf numFmtId="0" fontId="4" fillId="0" borderId="0" xfId="49" applyFont="1" applyFill="1" applyAlignment="1">
      <alignment horizontal="left" vertical="center" wrapText="1"/>
    </xf>
    <xf numFmtId="176" fontId="4" fillId="0" borderId="0" xfId="49" applyNumberFormat="1" applyFont="1" applyFill="1" applyAlignment="1">
      <alignment horizontal="center" vertical="center" wrapText="1"/>
    </xf>
    <xf numFmtId="0" fontId="5"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1" xfId="49" applyFont="1" applyFill="1" applyBorder="1" applyAlignment="1">
      <alignment horizontal="right" vertical="center" wrapText="1"/>
    </xf>
    <xf numFmtId="0" fontId="4" fillId="0" borderId="0" xfId="49" applyFont="1" applyFill="1" applyAlignment="1">
      <alignment horizontal="center" vertical="center" wrapText="1"/>
    </xf>
    <xf numFmtId="176" fontId="5" fillId="2" borderId="1" xfId="49" applyNumberFormat="1" applyFont="1" applyFill="1" applyBorder="1" applyAlignment="1">
      <alignment horizontal="center" vertical="center" wrapText="1"/>
    </xf>
    <xf numFmtId="176" fontId="5" fillId="3" borderId="1" xfId="49" applyNumberFormat="1" applyFont="1" applyFill="1" applyBorder="1" applyAlignment="1">
      <alignment horizontal="center" vertical="center" wrapText="1"/>
    </xf>
    <xf numFmtId="176" fontId="5" fillId="4" borderId="1" xfId="49"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176" fontId="2" fillId="0" borderId="1" xfId="0" applyNumberFormat="1" applyFont="1" applyFill="1" applyBorder="1" applyAlignment="1">
      <alignment horizontal="center" vertical="center"/>
    </xf>
    <xf numFmtId="0" fontId="6" fillId="0" borderId="0" xfId="49" applyFont="1" applyFill="1" applyAlignment="1">
      <alignment horizontal="left" vertical="center" wrapText="1"/>
    </xf>
    <xf numFmtId="176" fontId="2" fillId="0" borderId="1" xfId="49" applyNumberFormat="1" applyFont="1" applyFill="1" applyBorder="1"/>
    <xf numFmtId="0" fontId="7" fillId="0" borderId="0" xfId="49" applyFont="1" applyFill="1" applyBorder="1" applyAlignment="1">
      <alignment vertical="center"/>
    </xf>
    <xf numFmtId="0" fontId="8" fillId="0" borderId="0" xfId="49" applyFont="1" applyFill="1" applyBorder="1" applyAlignment="1">
      <alignment horizontal="center"/>
    </xf>
    <xf numFmtId="0" fontId="8" fillId="0" borderId="0" xfId="49" applyFont="1" applyFill="1" applyBorder="1"/>
    <xf numFmtId="0" fontId="8" fillId="0" borderId="0" xfId="49" applyFont="1" applyFill="1" applyBorder="1" applyAlignment="1">
      <alignment horizontal="left"/>
    </xf>
    <xf numFmtId="176" fontId="8" fillId="0" borderId="0" xfId="49" applyNumberFormat="1" applyFont="1" applyFill="1" applyBorder="1" applyAlignment="1">
      <alignment horizontal="center"/>
    </xf>
    <xf numFmtId="0" fontId="3" fillId="0" borderId="0" xfId="49" applyFont="1" applyFill="1" applyBorder="1" applyAlignment="1">
      <alignment horizontal="center" vertical="center" wrapText="1"/>
    </xf>
    <xf numFmtId="0" fontId="3" fillId="0" borderId="0" xfId="49" applyFont="1" applyFill="1" applyBorder="1" applyAlignment="1">
      <alignment horizontal="left" vertical="center" wrapText="1"/>
    </xf>
    <xf numFmtId="176" fontId="3" fillId="0" borderId="0" xfId="49" applyNumberFormat="1" applyFont="1" applyFill="1" applyBorder="1" applyAlignment="1">
      <alignment horizontal="center" vertical="center" wrapText="1"/>
    </xf>
    <xf numFmtId="0" fontId="4" fillId="0" borderId="0" xfId="49" applyFont="1" applyFill="1" applyBorder="1" applyAlignment="1">
      <alignment horizontal="left" vertical="center" wrapText="1"/>
    </xf>
    <xf numFmtId="0" fontId="5" fillId="0" borderId="2" xfId="49" applyFont="1" applyFill="1" applyBorder="1" applyAlignment="1">
      <alignment horizontal="center" vertical="center" wrapText="1"/>
    </xf>
    <xf numFmtId="176" fontId="5" fillId="0" borderId="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176" fontId="8" fillId="0" borderId="1" xfId="0" applyNumberFormat="1" applyFont="1" applyFill="1" applyBorder="1" applyAlignment="1">
      <alignment horizontal="center" vertical="center"/>
    </xf>
    <xf numFmtId="0" fontId="6" fillId="0" borderId="0" xfId="49" applyFont="1" applyFill="1" applyBorder="1" applyAlignment="1">
      <alignment horizontal="left" vertical="center" wrapText="1"/>
    </xf>
    <xf numFmtId="176" fontId="8" fillId="0" borderId="1" xfId="49" applyNumberFormat="1" applyFont="1" applyFill="1" applyBorder="1"/>
    <xf numFmtId="0" fontId="8" fillId="0" borderId="1" xfId="49" applyFont="1" applyFill="1" applyBorder="1"/>
    <xf numFmtId="0" fontId="5" fillId="0" borderId="3" xfId="49" applyFont="1" applyFill="1" applyBorder="1" applyAlignment="1">
      <alignment horizontal="center" vertical="center" wrapText="1"/>
    </xf>
    <xf numFmtId="0" fontId="9" fillId="0" borderId="1" xfId="49" applyFont="1" applyFill="1" applyBorder="1" applyAlignment="1" applyProtection="1">
      <alignment horizontal="center" vertical="center" wrapText="1"/>
      <protection locked="0"/>
    </xf>
    <xf numFmtId="0" fontId="9" fillId="0" borderId="1" xfId="49"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176" fontId="5" fillId="0" borderId="3" xfId="49" applyNumberFormat="1" applyFont="1" applyFill="1" applyBorder="1" applyAlignment="1">
      <alignment horizontal="center" vertical="center" wrapText="1"/>
    </xf>
    <xf numFmtId="0" fontId="10" fillId="0" borderId="0" xfId="49" applyFont="1" applyFill="1" applyBorder="1"/>
    <xf numFmtId="0" fontId="8" fillId="0" borderId="0" xfId="49" applyFont="1" applyFill="1" applyAlignment="1">
      <alignment horizontal="center" vertical="center"/>
    </xf>
    <xf numFmtId="0" fontId="8" fillId="0" borderId="0" xfId="49" applyFont="1" applyAlignment="1">
      <alignment horizontal="center" vertical="center"/>
    </xf>
    <xf numFmtId="0" fontId="11" fillId="0" borderId="0" xfId="49" applyFont="1" applyFill="1" applyAlignment="1">
      <alignment horizontal="center" vertical="center" wrapText="1"/>
    </xf>
    <xf numFmtId="0" fontId="12" fillId="0" borderId="0" xfId="49" applyFont="1" applyFill="1" applyAlignment="1">
      <alignment horizontal="left" vertical="center" wrapText="1"/>
    </xf>
    <xf numFmtId="0" fontId="13" fillId="0" borderId="2" xfId="49" applyFont="1" applyFill="1" applyBorder="1" applyAlignment="1">
      <alignment horizontal="center" vertical="center"/>
    </xf>
    <xf numFmtId="0" fontId="13" fillId="0" borderId="1" xfId="49" applyFont="1" applyFill="1" applyBorder="1" applyAlignment="1">
      <alignment horizontal="center" vertical="center" wrapText="1"/>
    </xf>
    <xf numFmtId="0" fontId="13" fillId="0" borderId="1" xfId="49" applyFont="1" applyFill="1" applyBorder="1" applyAlignment="1">
      <alignment horizontal="center" vertical="center"/>
    </xf>
    <xf numFmtId="0" fontId="8" fillId="0" borderId="0" xfId="49" applyFont="1" applyFill="1" applyAlignment="1">
      <alignment horizontal="left" vertical="center"/>
    </xf>
    <xf numFmtId="177" fontId="14" fillId="0" borderId="0" xfId="0" applyNumberFormat="1"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A0AF4"/>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95250</xdr:colOff>
      <xdr:row>16</xdr:row>
      <xdr:rowOff>704850</xdr:rowOff>
    </xdr:from>
    <xdr:to>
      <xdr:col>22</xdr:col>
      <xdr:colOff>533400</xdr:colOff>
      <xdr:row>21</xdr:row>
      <xdr:rowOff>682625</xdr:rowOff>
    </xdr:to>
    <xdr:pic>
      <xdr:nvPicPr>
        <xdr:cNvPr id="4" name="图片 3"/>
        <xdr:cNvPicPr>
          <a:picLocks noChangeAspect="1"/>
        </xdr:cNvPicPr>
      </xdr:nvPicPr>
      <xdr:blipFill>
        <a:blip r:embed="rId1"/>
        <a:stretch>
          <a:fillRect/>
        </a:stretch>
      </xdr:blipFill>
      <xdr:spPr>
        <a:xfrm>
          <a:off x="14196695" y="20031075"/>
          <a:ext cx="7058025" cy="48672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515620</xdr:colOff>
      <xdr:row>15</xdr:row>
      <xdr:rowOff>581025</xdr:rowOff>
    </xdr:from>
    <xdr:to>
      <xdr:col>26</xdr:col>
      <xdr:colOff>458470</xdr:colOff>
      <xdr:row>20</xdr:row>
      <xdr:rowOff>558800</xdr:rowOff>
    </xdr:to>
    <xdr:pic>
      <xdr:nvPicPr>
        <xdr:cNvPr id="2" name="图片 1"/>
        <xdr:cNvPicPr>
          <a:picLocks noChangeAspect="1"/>
        </xdr:cNvPicPr>
      </xdr:nvPicPr>
      <xdr:blipFill>
        <a:blip r:embed="rId1"/>
        <a:stretch>
          <a:fillRect/>
        </a:stretch>
      </xdr:blipFill>
      <xdr:spPr>
        <a:xfrm>
          <a:off x="14056995" y="19189700"/>
          <a:ext cx="7058025" cy="486727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abSelected="1" workbookViewId="0">
      <selection activeCell="H7" sqref="H7"/>
    </sheetView>
  </sheetViews>
  <sheetFormatPr defaultColWidth="10.5" defaultRowHeight="27" customHeight="1" outlineLevelCol="5"/>
  <cols>
    <col min="1" max="1" width="6.625" style="49" customWidth="1"/>
    <col min="2" max="2" width="29.25" style="49" customWidth="1"/>
    <col min="3" max="4" width="17.125" style="49" customWidth="1"/>
    <col min="5" max="5" width="19.375" style="49" customWidth="1"/>
    <col min="6" max="6" width="20.75" style="49" customWidth="1"/>
    <col min="7" max="16364" width="10.5" style="49" customWidth="1"/>
    <col min="16365" max="16383" width="10.5" style="49"/>
    <col min="16384" max="16384" width="10.5" style="50"/>
  </cols>
  <sheetData>
    <row r="1" s="49" customFormat="1" ht="49" customHeight="1" spans="1:6">
      <c r="A1" s="51" t="s">
        <v>0</v>
      </c>
      <c r="B1" s="51"/>
      <c r="C1" s="51"/>
      <c r="D1" s="51"/>
      <c r="E1" s="51"/>
      <c r="F1" s="51"/>
    </row>
    <row r="2" s="49" customFormat="1" customHeight="1" spans="1:6">
      <c r="A2" s="52" t="s">
        <v>1</v>
      </c>
      <c r="B2" s="52"/>
      <c r="C2" s="52"/>
      <c r="D2" s="52"/>
      <c r="E2" s="52"/>
      <c r="F2" s="52"/>
    </row>
    <row r="3" s="49" customFormat="1" ht="36" customHeight="1" spans="1:6">
      <c r="A3" s="53" t="s">
        <v>2</v>
      </c>
      <c r="B3" s="53" t="s">
        <v>3</v>
      </c>
      <c r="C3" s="54" t="s">
        <v>4</v>
      </c>
      <c r="D3" s="54" t="s">
        <v>5</v>
      </c>
      <c r="E3" s="54" t="s">
        <v>6</v>
      </c>
      <c r="F3" s="55" t="s">
        <v>7</v>
      </c>
    </row>
    <row r="4" s="49" customFormat="1" ht="47" customHeight="1" spans="1:6">
      <c r="A4" s="55">
        <v>1</v>
      </c>
      <c r="B4" s="55" t="s">
        <v>8</v>
      </c>
      <c r="C4" s="55"/>
      <c r="D4" s="55"/>
      <c r="E4" s="55"/>
      <c r="F4" s="54"/>
    </row>
    <row r="5" s="49" customFormat="1" ht="47" customHeight="1" spans="1:6">
      <c r="A5" s="55">
        <v>2</v>
      </c>
      <c r="B5" s="55" t="s">
        <v>9</v>
      </c>
      <c r="C5" s="55"/>
      <c r="D5" s="55"/>
      <c r="E5" s="55"/>
      <c r="F5" s="54"/>
    </row>
    <row r="6" s="49" customFormat="1" ht="47" customHeight="1" spans="1:6">
      <c r="A6" s="55">
        <v>3</v>
      </c>
      <c r="B6" s="55" t="s">
        <v>10</v>
      </c>
      <c r="C6" s="55"/>
      <c r="D6" s="55"/>
      <c r="E6" s="55"/>
      <c r="F6" s="54"/>
    </row>
    <row r="7" s="49" customFormat="1" ht="36" customHeight="1" spans="1:6">
      <c r="A7" s="55">
        <v>4</v>
      </c>
      <c r="B7" s="55" t="s">
        <v>11</v>
      </c>
      <c r="C7" s="55"/>
      <c r="D7" s="55"/>
      <c r="E7" s="55"/>
      <c r="F7" s="55"/>
    </row>
    <row r="8" customHeight="1" spans="1:6">
      <c r="A8" s="56"/>
      <c r="B8" s="56"/>
      <c r="C8" s="56"/>
      <c r="D8" s="56"/>
      <c r="E8" s="56"/>
      <c r="F8" s="56"/>
    </row>
    <row r="9" customHeight="1" spans="3:6">
      <c r="C9" s="57" t="s">
        <v>12</v>
      </c>
      <c r="D9" s="57"/>
      <c r="E9" s="57"/>
      <c r="F9" s="57"/>
    </row>
    <row r="10" customHeight="1" spans="3:6">
      <c r="C10" s="57" t="s">
        <v>13</v>
      </c>
      <c r="D10" s="57"/>
      <c r="E10" s="57"/>
      <c r="F10" s="57"/>
    </row>
    <row r="11" customHeight="1" spans="3:6">
      <c r="C11" s="57" t="s">
        <v>14</v>
      </c>
      <c r="D11" s="57"/>
      <c r="E11" s="57"/>
      <c r="F11" s="57"/>
    </row>
    <row r="12" customHeight="1" spans="3:6">
      <c r="C12" s="57" t="s">
        <v>15</v>
      </c>
      <c r="D12" s="57"/>
      <c r="E12" s="57"/>
      <c r="F12" s="57"/>
    </row>
  </sheetData>
  <mergeCells count="7">
    <mergeCell ref="A1:F1"/>
    <mergeCell ref="A2:F2"/>
    <mergeCell ref="A8:F8"/>
    <mergeCell ref="C9:F9"/>
    <mergeCell ref="C10:F10"/>
    <mergeCell ref="C11:F11"/>
    <mergeCell ref="C12:F12"/>
  </mergeCells>
  <printOptions horizontalCentered="1"/>
  <pageMargins left="0.751388888888889" right="0.751388888888889" top="1" bottom="1"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3"/>
  <sheetViews>
    <sheetView showGridLines="0" view="pageBreakPreview" zoomScaleNormal="100" workbookViewId="0">
      <pane ySplit="3" topLeftCell="A29" activePane="bottomLeft" state="frozen"/>
      <selection/>
      <selection pane="bottomLeft" activeCell="A2" sqref="A2:M2"/>
    </sheetView>
  </sheetViews>
  <sheetFormatPr defaultColWidth="7.875" defaultRowHeight="11.25"/>
  <cols>
    <col min="1" max="1" width="6.41666666666667" style="28" customWidth="1"/>
    <col min="2" max="2" width="17.5" style="28" customWidth="1"/>
    <col min="3" max="3" width="39" style="29" customWidth="1"/>
    <col min="4" max="4" width="16.875" style="29" customWidth="1"/>
    <col min="5" max="5" width="8.45833333333333" style="28" customWidth="1"/>
    <col min="6" max="6" width="11.8166666666667" style="30" customWidth="1"/>
    <col min="7" max="10" width="11.75" style="28" customWidth="1"/>
    <col min="11" max="11" width="11.75" style="30" customWidth="1"/>
    <col min="12" max="12" width="14.6166666666667" style="30" customWidth="1"/>
    <col min="13" max="13" width="11.625" style="27" customWidth="1"/>
    <col min="14" max="14" width="23.875" style="28" customWidth="1"/>
    <col min="15" max="16384" width="7.875" style="28"/>
  </cols>
  <sheetData>
    <row r="1" ht="39.75" customHeight="1" spans="1:13">
      <c r="A1" s="31" t="s">
        <v>16</v>
      </c>
      <c r="B1" s="31"/>
      <c r="C1" s="32"/>
      <c r="D1" s="32"/>
      <c r="E1" s="31"/>
      <c r="F1" s="33"/>
      <c r="G1" s="31"/>
      <c r="H1" s="31"/>
      <c r="I1" s="31"/>
      <c r="J1" s="31"/>
      <c r="K1" s="33"/>
      <c r="L1" s="33"/>
      <c r="M1" s="31"/>
    </row>
    <row r="2" s="26" customFormat="1" ht="34" customHeight="1" spans="1:13">
      <c r="A2" s="34" t="s">
        <v>17</v>
      </c>
      <c r="B2" s="34"/>
      <c r="C2" s="34"/>
      <c r="D2" s="34"/>
      <c r="E2" s="34"/>
      <c r="F2" s="34"/>
      <c r="G2" s="34"/>
      <c r="H2" s="34"/>
      <c r="I2" s="34"/>
      <c r="J2" s="34"/>
      <c r="K2" s="34"/>
      <c r="L2" s="34"/>
      <c r="M2" s="34"/>
    </row>
    <row r="3" s="27" customFormat="1" ht="59" customHeight="1" spans="1:13">
      <c r="A3" s="35" t="s">
        <v>2</v>
      </c>
      <c r="B3" s="35" t="s">
        <v>18</v>
      </c>
      <c r="C3" s="35" t="s">
        <v>19</v>
      </c>
      <c r="D3" s="35" t="s">
        <v>20</v>
      </c>
      <c r="E3" s="35" t="s">
        <v>21</v>
      </c>
      <c r="F3" s="36" t="s">
        <v>22</v>
      </c>
      <c r="G3" s="36" t="s">
        <v>23</v>
      </c>
      <c r="H3" s="14" t="s">
        <v>24</v>
      </c>
      <c r="I3" s="14" t="s">
        <v>25</v>
      </c>
      <c r="J3" s="14" t="s">
        <v>26</v>
      </c>
      <c r="K3" s="14" t="s">
        <v>27</v>
      </c>
      <c r="L3" s="14" t="s">
        <v>28</v>
      </c>
      <c r="M3" s="13" t="s">
        <v>7</v>
      </c>
    </row>
    <row r="4" s="28" customFormat="1" ht="120" customHeight="1" spans="1:13">
      <c r="A4" s="13">
        <v>1</v>
      </c>
      <c r="B4" s="15" t="s">
        <v>29</v>
      </c>
      <c r="C4" s="15" t="s">
        <v>30</v>
      </c>
      <c r="D4" s="15" t="s">
        <v>31</v>
      </c>
      <c r="E4" s="13" t="s">
        <v>32</v>
      </c>
      <c r="F4" s="14">
        <f>392.36+23.83</f>
        <v>416.19</v>
      </c>
      <c r="G4" s="16"/>
      <c r="H4" s="16"/>
      <c r="I4" s="16"/>
      <c r="J4" s="16"/>
      <c r="K4" s="14"/>
      <c r="L4" s="14" t="s">
        <v>33</v>
      </c>
      <c r="M4" s="14"/>
    </row>
    <row r="5" s="28" customFormat="1" ht="114" customHeight="1" spans="1:13">
      <c r="A5" s="13">
        <v>2</v>
      </c>
      <c r="B5" s="15" t="s">
        <v>34</v>
      </c>
      <c r="C5" s="15" t="s">
        <v>35</v>
      </c>
      <c r="D5" s="15" t="s">
        <v>31</v>
      </c>
      <c r="E5" s="13" t="s">
        <v>32</v>
      </c>
      <c r="F5" s="14">
        <v>51.78</v>
      </c>
      <c r="G5" s="16"/>
      <c r="H5" s="16"/>
      <c r="I5" s="16"/>
      <c r="J5" s="16"/>
      <c r="K5" s="14"/>
      <c r="L5" s="14"/>
      <c r="M5" s="14"/>
    </row>
    <row r="6" s="28" customFormat="1" ht="102" customHeight="1" spans="1:13">
      <c r="A6" s="13">
        <v>3</v>
      </c>
      <c r="B6" s="15" t="s">
        <v>36</v>
      </c>
      <c r="C6" s="15" t="s">
        <v>37</v>
      </c>
      <c r="D6" s="15" t="s">
        <v>31</v>
      </c>
      <c r="E6" s="13" t="s">
        <v>32</v>
      </c>
      <c r="F6" s="14">
        <f>277.09+76.44</f>
        <v>353.53</v>
      </c>
      <c r="G6" s="16"/>
      <c r="H6" s="16"/>
      <c r="I6" s="16"/>
      <c r="J6" s="16"/>
      <c r="K6" s="14"/>
      <c r="L6" s="14"/>
      <c r="M6" s="14"/>
    </row>
    <row r="7" s="28" customFormat="1" ht="113" customHeight="1" spans="1:13">
      <c r="A7" s="13">
        <v>4</v>
      </c>
      <c r="B7" s="15" t="s">
        <v>38</v>
      </c>
      <c r="C7" s="15" t="s">
        <v>39</v>
      </c>
      <c r="D7" s="15" t="s">
        <v>31</v>
      </c>
      <c r="E7" s="13" t="s">
        <v>32</v>
      </c>
      <c r="F7" s="14">
        <v>51.1</v>
      </c>
      <c r="G7" s="16"/>
      <c r="H7" s="16"/>
      <c r="I7" s="16"/>
      <c r="J7" s="16"/>
      <c r="K7" s="14"/>
      <c r="L7" s="14"/>
      <c r="M7" s="14"/>
    </row>
    <row r="8" s="28" customFormat="1" ht="105" customHeight="1" spans="1:13">
      <c r="A8" s="13">
        <v>5</v>
      </c>
      <c r="B8" s="15" t="s">
        <v>40</v>
      </c>
      <c r="C8" s="15" t="s">
        <v>41</v>
      </c>
      <c r="D8" s="15" t="s">
        <v>31</v>
      </c>
      <c r="E8" s="13" t="s">
        <v>32</v>
      </c>
      <c r="F8" s="14">
        <v>22.24</v>
      </c>
      <c r="G8" s="16"/>
      <c r="H8" s="16"/>
      <c r="I8" s="16"/>
      <c r="J8" s="16"/>
      <c r="K8" s="14"/>
      <c r="L8" s="14"/>
      <c r="M8" s="14"/>
    </row>
    <row r="9" s="28" customFormat="1" ht="120" customHeight="1" spans="1:13">
      <c r="A9" s="13">
        <v>6</v>
      </c>
      <c r="B9" s="15" t="s">
        <v>42</v>
      </c>
      <c r="C9" s="15" t="s">
        <v>43</v>
      </c>
      <c r="D9" s="15" t="s">
        <v>31</v>
      </c>
      <c r="E9" s="13" t="s">
        <v>32</v>
      </c>
      <c r="F9" s="14">
        <v>221.72</v>
      </c>
      <c r="G9" s="16"/>
      <c r="H9" s="16"/>
      <c r="I9" s="16"/>
      <c r="J9" s="16"/>
      <c r="K9" s="14"/>
      <c r="L9" s="14"/>
      <c r="M9" s="14"/>
    </row>
    <row r="10" s="28" customFormat="1" ht="120" customHeight="1" spans="1:13">
      <c r="A10" s="13">
        <v>7</v>
      </c>
      <c r="B10" s="15" t="s">
        <v>44</v>
      </c>
      <c r="C10" s="15" t="s">
        <v>45</v>
      </c>
      <c r="D10" s="15" t="s">
        <v>31</v>
      </c>
      <c r="E10" s="13" t="s">
        <v>32</v>
      </c>
      <c r="F10" s="14">
        <v>18</v>
      </c>
      <c r="G10" s="16"/>
      <c r="H10" s="16"/>
      <c r="I10" s="16"/>
      <c r="J10" s="16"/>
      <c r="K10" s="14"/>
      <c r="L10" s="14"/>
      <c r="M10" s="14"/>
    </row>
    <row r="11" s="28" customFormat="1" ht="120" customHeight="1" spans="1:13">
      <c r="A11" s="13">
        <v>8</v>
      </c>
      <c r="B11" s="15" t="s">
        <v>46</v>
      </c>
      <c r="C11" s="15" t="s">
        <v>37</v>
      </c>
      <c r="D11" s="15" t="s">
        <v>31</v>
      </c>
      <c r="E11" s="13" t="s">
        <v>32</v>
      </c>
      <c r="F11" s="14">
        <v>22.71</v>
      </c>
      <c r="G11" s="16"/>
      <c r="H11" s="16"/>
      <c r="I11" s="16"/>
      <c r="J11" s="16"/>
      <c r="K11" s="14"/>
      <c r="L11" s="14"/>
      <c r="M11" s="14"/>
    </row>
    <row r="12" s="28" customFormat="1" ht="60" customHeight="1" spans="1:13">
      <c r="A12" s="13">
        <v>9</v>
      </c>
      <c r="B12" s="15" t="s">
        <v>47</v>
      </c>
      <c r="C12" s="15" t="s">
        <v>48</v>
      </c>
      <c r="D12" s="15" t="s">
        <v>49</v>
      </c>
      <c r="E12" s="13" t="s">
        <v>50</v>
      </c>
      <c r="F12" s="14">
        <v>81.77</v>
      </c>
      <c r="G12" s="16"/>
      <c r="H12" s="16"/>
      <c r="I12" s="16"/>
      <c r="J12" s="16"/>
      <c r="K12" s="14"/>
      <c r="L12" s="14"/>
      <c r="M12" s="14"/>
    </row>
    <row r="13" s="28" customFormat="1" ht="122" customHeight="1" spans="1:13">
      <c r="A13" s="13">
        <v>10</v>
      </c>
      <c r="B13" s="15" t="s">
        <v>51</v>
      </c>
      <c r="C13" s="15" t="s">
        <v>52</v>
      </c>
      <c r="D13" s="15" t="s">
        <v>49</v>
      </c>
      <c r="E13" s="13" t="s">
        <v>50</v>
      </c>
      <c r="F13" s="14">
        <v>447.17</v>
      </c>
      <c r="G13" s="16"/>
      <c r="H13" s="16"/>
      <c r="I13" s="16"/>
      <c r="J13" s="16"/>
      <c r="K13" s="14"/>
      <c r="L13" s="14"/>
      <c r="M13" s="14"/>
    </row>
    <row r="14" s="28" customFormat="1" ht="108" spans="1:13">
      <c r="A14" s="13">
        <v>11</v>
      </c>
      <c r="B14" s="15" t="s">
        <v>53</v>
      </c>
      <c r="C14" s="15" t="s">
        <v>54</v>
      </c>
      <c r="D14" s="15" t="s">
        <v>49</v>
      </c>
      <c r="E14" s="13" t="s">
        <v>50</v>
      </c>
      <c r="F14" s="14">
        <f>234.92+4.24</f>
        <v>239.16</v>
      </c>
      <c r="G14" s="16"/>
      <c r="H14" s="16"/>
      <c r="I14" s="16"/>
      <c r="J14" s="16"/>
      <c r="K14" s="14"/>
      <c r="L14" s="14"/>
      <c r="M14" s="14"/>
    </row>
    <row r="15" s="28" customFormat="1" ht="116" customHeight="1" spans="1:13">
      <c r="A15" s="13">
        <v>12</v>
      </c>
      <c r="B15" s="15" t="s">
        <v>55</v>
      </c>
      <c r="C15" s="15" t="s">
        <v>56</v>
      </c>
      <c r="D15" s="15" t="s">
        <v>49</v>
      </c>
      <c r="E15" s="13" t="s">
        <v>50</v>
      </c>
      <c r="F15" s="14">
        <v>3.01</v>
      </c>
      <c r="G15" s="16"/>
      <c r="H15" s="16"/>
      <c r="I15" s="16"/>
      <c r="J15" s="16"/>
      <c r="K15" s="14"/>
      <c r="L15" s="14"/>
      <c r="M15" s="14"/>
    </row>
    <row r="16" s="28" customFormat="1" ht="69" customHeight="1" spans="1:13">
      <c r="A16" s="13">
        <v>13</v>
      </c>
      <c r="B16" s="15" t="s">
        <v>57</v>
      </c>
      <c r="C16" s="15" t="s">
        <v>58</v>
      </c>
      <c r="D16" s="15" t="s">
        <v>49</v>
      </c>
      <c r="E16" s="13" t="s">
        <v>50</v>
      </c>
      <c r="F16" s="14">
        <f>54.77+30.32</f>
        <v>85.09</v>
      </c>
      <c r="G16" s="16"/>
      <c r="H16" s="16"/>
      <c r="I16" s="16"/>
      <c r="J16" s="16"/>
      <c r="K16" s="14"/>
      <c r="L16" s="14"/>
      <c r="M16" s="14"/>
    </row>
    <row r="17" s="28" customFormat="1" ht="97" customHeight="1" spans="1:13">
      <c r="A17" s="13">
        <v>14</v>
      </c>
      <c r="B17" s="15" t="s">
        <v>59</v>
      </c>
      <c r="C17" s="15" t="s">
        <v>60</v>
      </c>
      <c r="D17" s="15" t="s">
        <v>49</v>
      </c>
      <c r="E17" s="13" t="s">
        <v>50</v>
      </c>
      <c r="F17" s="14">
        <v>71.88</v>
      </c>
      <c r="G17" s="16"/>
      <c r="H17" s="16"/>
      <c r="I17" s="16"/>
      <c r="J17" s="16"/>
      <c r="K17" s="14"/>
      <c r="L17" s="14"/>
      <c r="M17" s="14"/>
    </row>
    <row r="18" s="28" customFormat="1" ht="62" customHeight="1" spans="1:13">
      <c r="A18" s="13">
        <v>15</v>
      </c>
      <c r="B18" s="15" t="s">
        <v>61</v>
      </c>
      <c r="C18" s="15" t="s">
        <v>62</v>
      </c>
      <c r="D18" s="15" t="s">
        <v>49</v>
      </c>
      <c r="E18" s="13" t="s">
        <v>50</v>
      </c>
      <c r="F18" s="14">
        <f>3.62+2.07</f>
        <v>5.69</v>
      </c>
      <c r="G18" s="16"/>
      <c r="H18" s="16"/>
      <c r="I18" s="16"/>
      <c r="J18" s="16"/>
      <c r="K18" s="14"/>
      <c r="L18" s="14"/>
      <c r="M18" s="14" t="s">
        <v>63</v>
      </c>
    </row>
    <row r="19" s="48" customFormat="1" ht="91" customHeight="1" spans="1:13">
      <c r="A19" s="13">
        <v>16</v>
      </c>
      <c r="B19" s="15" t="s">
        <v>64</v>
      </c>
      <c r="C19" s="15" t="s">
        <v>65</v>
      </c>
      <c r="D19" s="15" t="s">
        <v>49</v>
      </c>
      <c r="E19" s="13" t="s">
        <v>50</v>
      </c>
      <c r="F19" s="14">
        <f>3.28+1.14+3.62+9</f>
        <v>17.04</v>
      </c>
      <c r="G19" s="16"/>
      <c r="H19" s="16"/>
      <c r="I19" s="16"/>
      <c r="J19" s="16"/>
      <c r="K19" s="14"/>
      <c r="L19" s="14"/>
      <c r="M19" s="14"/>
    </row>
    <row r="20" s="28" customFormat="1" ht="64" customHeight="1" spans="1:13">
      <c r="A20" s="13">
        <v>17</v>
      </c>
      <c r="B20" s="15" t="s">
        <v>66</v>
      </c>
      <c r="C20" s="15" t="s">
        <v>67</v>
      </c>
      <c r="D20" s="15" t="s">
        <v>49</v>
      </c>
      <c r="E20" s="13" t="s">
        <v>50</v>
      </c>
      <c r="F20" s="14">
        <v>0.44</v>
      </c>
      <c r="G20" s="16"/>
      <c r="H20" s="16"/>
      <c r="I20" s="16"/>
      <c r="J20" s="16"/>
      <c r="K20" s="14"/>
      <c r="L20" s="14"/>
      <c r="M20" s="14"/>
    </row>
    <row r="21" s="28" customFormat="1" ht="71" customHeight="1" spans="1:13">
      <c r="A21" s="13">
        <v>18</v>
      </c>
      <c r="B21" s="15" t="s">
        <v>68</v>
      </c>
      <c r="C21" s="15" t="s">
        <v>69</v>
      </c>
      <c r="D21" s="15" t="s">
        <v>49</v>
      </c>
      <c r="E21" s="13" t="s">
        <v>50</v>
      </c>
      <c r="F21" s="14">
        <v>5.1</v>
      </c>
      <c r="G21" s="16"/>
      <c r="H21" s="16"/>
      <c r="I21" s="16"/>
      <c r="J21" s="16"/>
      <c r="K21" s="14"/>
      <c r="L21" s="14"/>
      <c r="M21" s="14"/>
    </row>
    <row r="22" s="28" customFormat="1" ht="91" customHeight="1" spans="1:13">
      <c r="A22" s="13">
        <v>19</v>
      </c>
      <c r="B22" s="15" t="s">
        <v>70</v>
      </c>
      <c r="C22" s="15" t="s">
        <v>71</v>
      </c>
      <c r="D22" s="15" t="s">
        <v>49</v>
      </c>
      <c r="E22" s="13" t="s">
        <v>50</v>
      </c>
      <c r="F22" s="14">
        <f>165.93+16.34</f>
        <v>182.27</v>
      </c>
      <c r="G22" s="16"/>
      <c r="H22" s="16"/>
      <c r="I22" s="16"/>
      <c r="J22" s="16"/>
      <c r="K22" s="14"/>
      <c r="L22" s="14"/>
      <c r="M22" s="14"/>
    </row>
    <row r="23" s="28" customFormat="1" ht="77" customHeight="1" spans="1:13">
      <c r="A23" s="13">
        <v>20</v>
      </c>
      <c r="B23" s="15" t="s">
        <v>72</v>
      </c>
      <c r="C23" s="15" t="s">
        <v>73</v>
      </c>
      <c r="D23" s="15" t="s">
        <v>49</v>
      </c>
      <c r="E23" s="13" t="s">
        <v>50</v>
      </c>
      <c r="F23" s="14">
        <v>1.68</v>
      </c>
      <c r="G23" s="16"/>
      <c r="H23" s="16"/>
      <c r="I23" s="16"/>
      <c r="J23" s="16"/>
      <c r="K23" s="14"/>
      <c r="L23" s="14"/>
      <c r="M23" s="14"/>
    </row>
    <row r="24" s="28" customFormat="1" ht="52" customHeight="1" spans="1:13">
      <c r="A24" s="13">
        <v>21</v>
      </c>
      <c r="B24" s="15" t="s">
        <v>74</v>
      </c>
      <c r="C24" s="15" t="s">
        <v>75</v>
      </c>
      <c r="D24" s="15" t="s">
        <v>49</v>
      </c>
      <c r="E24" s="13" t="s">
        <v>50</v>
      </c>
      <c r="F24" s="13">
        <v>29.75</v>
      </c>
      <c r="G24" s="16"/>
      <c r="H24" s="16"/>
      <c r="I24" s="16"/>
      <c r="J24" s="16"/>
      <c r="K24" s="14"/>
      <c r="L24" s="14"/>
      <c r="M24" s="14"/>
    </row>
    <row r="25" s="28" customFormat="1" ht="54" customHeight="1" spans="1:13">
      <c r="A25" s="13">
        <v>22</v>
      </c>
      <c r="B25" s="15" t="s">
        <v>76</v>
      </c>
      <c r="C25" s="15" t="s">
        <v>77</v>
      </c>
      <c r="D25" s="15" t="s">
        <v>78</v>
      </c>
      <c r="E25" s="13" t="s">
        <v>50</v>
      </c>
      <c r="F25" s="14">
        <f>2.47+0.52+1.3+1.17</f>
        <v>5.46</v>
      </c>
      <c r="G25" s="16"/>
      <c r="H25" s="16"/>
      <c r="I25" s="16"/>
      <c r="J25" s="16"/>
      <c r="K25" s="14"/>
      <c r="L25" s="14"/>
      <c r="M25" s="14" t="s">
        <v>79</v>
      </c>
    </row>
    <row r="26" s="28" customFormat="1" ht="44" customHeight="1" spans="1:13">
      <c r="A26" s="13">
        <v>23</v>
      </c>
      <c r="B26" s="15" t="s">
        <v>80</v>
      </c>
      <c r="C26" s="15" t="s">
        <v>81</v>
      </c>
      <c r="D26" s="15" t="s">
        <v>82</v>
      </c>
      <c r="E26" s="13" t="s">
        <v>32</v>
      </c>
      <c r="F26" s="14">
        <v>4.2</v>
      </c>
      <c r="G26" s="16"/>
      <c r="H26" s="16"/>
      <c r="I26" s="16"/>
      <c r="J26" s="16"/>
      <c r="K26" s="14"/>
      <c r="L26" s="14"/>
      <c r="M26" s="14"/>
    </row>
    <row r="27" s="28" customFormat="1" ht="63" customHeight="1" spans="1:13">
      <c r="A27" s="13">
        <v>24</v>
      </c>
      <c r="B27" s="15" t="s">
        <v>83</v>
      </c>
      <c r="C27" s="15" t="s">
        <v>84</v>
      </c>
      <c r="D27" s="15" t="s">
        <v>85</v>
      </c>
      <c r="E27" s="13" t="s">
        <v>86</v>
      </c>
      <c r="F27" s="14">
        <v>12</v>
      </c>
      <c r="G27" s="16"/>
      <c r="H27" s="16"/>
      <c r="I27" s="16"/>
      <c r="J27" s="16"/>
      <c r="K27" s="14"/>
      <c r="L27" s="14"/>
      <c r="M27" s="14"/>
    </row>
    <row r="28" s="28" customFormat="1" ht="81" customHeight="1" spans="1:13">
      <c r="A28" s="13">
        <v>25</v>
      </c>
      <c r="B28" s="15" t="s">
        <v>87</v>
      </c>
      <c r="C28" s="15" t="s">
        <v>88</v>
      </c>
      <c r="D28" s="15" t="s">
        <v>89</v>
      </c>
      <c r="E28" s="13" t="s">
        <v>32</v>
      </c>
      <c r="F28" s="14">
        <v>6.4</v>
      </c>
      <c r="G28" s="16"/>
      <c r="H28" s="16"/>
      <c r="I28" s="16"/>
      <c r="J28" s="16"/>
      <c r="K28" s="14"/>
      <c r="L28" s="14"/>
      <c r="M28" s="14"/>
    </row>
    <row r="29" s="28" customFormat="1" ht="51" customHeight="1" spans="1:13">
      <c r="A29" s="13">
        <v>26</v>
      </c>
      <c r="B29" s="15" t="s">
        <v>90</v>
      </c>
      <c r="C29" s="15" t="s">
        <v>91</v>
      </c>
      <c r="D29" s="15" t="s">
        <v>89</v>
      </c>
      <c r="E29" s="13" t="s">
        <v>32</v>
      </c>
      <c r="F29" s="14">
        <v>3.5</v>
      </c>
      <c r="G29" s="16"/>
      <c r="H29" s="16"/>
      <c r="I29" s="16"/>
      <c r="J29" s="16"/>
      <c r="K29" s="14"/>
      <c r="L29" s="14"/>
      <c r="M29" s="14"/>
    </row>
    <row r="30" s="28" customFormat="1" ht="36" customHeight="1" spans="1:13">
      <c r="A30" s="13">
        <v>27</v>
      </c>
      <c r="B30" s="13" t="s">
        <v>92</v>
      </c>
      <c r="C30" s="15"/>
      <c r="D30" s="15"/>
      <c r="E30" s="13"/>
      <c r="F30" s="14"/>
      <c r="G30" s="13"/>
      <c r="H30" s="13"/>
      <c r="I30" s="13"/>
      <c r="J30" s="13"/>
      <c r="K30" s="41"/>
      <c r="L30" s="41"/>
      <c r="M30" s="42"/>
    </row>
    <row r="31" s="28" customFormat="1" ht="36" customHeight="1" spans="1:13">
      <c r="A31" s="13">
        <v>28</v>
      </c>
      <c r="B31" s="37" t="s">
        <v>93</v>
      </c>
      <c r="C31" s="38"/>
      <c r="D31" s="38"/>
      <c r="E31" s="37"/>
      <c r="F31" s="39"/>
      <c r="G31" s="37"/>
      <c r="H31" s="37"/>
      <c r="I31" s="37"/>
      <c r="J31" s="37"/>
      <c r="K31" s="41"/>
      <c r="L31" s="41"/>
      <c r="M31" s="42"/>
    </row>
    <row r="32" s="28" customFormat="1" ht="36" customHeight="1" spans="1:13">
      <c r="A32" s="13">
        <v>29</v>
      </c>
      <c r="B32" s="37" t="s">
        <v>94</v>
      </c>
      <c r="C32" s="38"/>
      <c r="D32" s="38"/>
      <c r="E32" s="37"/>
      <c r="F32" s="39"/>
      <c r="G32" s="37"/>
      <c r="H32" s="37"/>
      <c r="I32" s="37"/>
      <c r="J32" s="37"/>
      <c r="K32" s="41"/>
      <c r="L32" s="41"/>
      <c r="M32" s="42"/>
    </row>
    <row r="33" ht="278" customHeight="1" spans="1:13">
      <c r="A33" s="40" t="s">
        <v>95</v>
      </c>
      <c r="B33" s="40"/>
      <c r="C33" s="40"/>
      <c r="D33" s="40"/>
      <c r="E33" s="40"/>
      <c r="F33" s="40"/>
      <c r="G33" s="40"/>
      <c r="H33" s="40"/>
      <c r="I33" s="40"/>
      <c r="J33" s="40"/>
      <c r="K33" s="40"/>
      <c r="L33" s="40"/>
      <c r="M33" s="40"/>
    </row>
  </sheetData>
  <mergeCells count="6">
    <mergeCell ref="A1:M1"/>
    <mergeCell ref="A2:M2"/>
    <mergeCell ref="B30:J30"/>
    <mergeCell ref="B31:J31"/>
    <mergeCell ref="B32:J32"/>
    <mergeCell ref="A33:M33"/>
  </mergeCells>
  <printOptions horizontalCentered="1"/>
  <pageMargins left="0" right="0.200694444444444" top="0.594444444444444" bottom="0" header="0.594444444444444" footer="0"/>
  <pageSetup paperSize="9" scale="77"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view="pageBreakPreview" zoomScaleNormal="100" workbookViewId="0">
      <pane ySplit="4" topLeftCell="A21" activePane="bottomLeft" state="frozen"/>
      <selection/>
      <selection pane="bottomLeft" activeCell="A22" sqref="A22:N22"/>
    </sheetView>
  </sheetViews>
  <sheetFormatPr defaultColWidth="7.875" defaultRowHeight="11.25"/>
  <cols>
    <col min="1" max="1" width="6.41666666666667" style="28" customWidth="1"/>
    <col min="2" max="2" width="17.5" style="28" customWidth="1"/>
    <col min="3" max="3" width="30.875" style="29" customWidth="1"/>
    <col min="4" max="4" width="16.875" style="29" customWidth="1"/>
    <col min="5" max="5" width="8.45833333333333" style="28" customWidth="1"/>
    <col min="6" max="6" width="11.8166666666667" style="30" customWidth="1"/>
    <col min="7" max="7" width="11.75" style="28" customWidth="1"/>
    <col min="8" max="8" width="8.625" style="28" customWidth="1"/>
    <col min="9" max="9" width="14.625" style="28" customWidth="1"/>
    <col min="10" max="11" width="11.75" style="28" customWidth="1"/>
    <col min="12" max="12" width="11.75" style="30" customWidth="1"/>
    <col min="13" max="13" width="14.6166666666667" style="30" customWidth="1"/>
    <col min="14" max="14" width="11.625" style="27" customWidth="1"/>
    <col min="15" max="15" width="25.25" style="28" customWidth="1"/>
    <col min="16" max="16384" width="7.875" style="28"/>
  </cols>
  <sheetData>
    <row r="1" s="28" customFormat="1" ht="39.75" customHeight="1" spans="1:14">
      <c r="A1" s="31" t="s">
        <v>96</v>
      </c>
      <c r="B1" s="31"/>
      <c r="C1" s="32"/>
      <c r="D1" s="32"/>
      <c r="E1" s="31"/>
      <c r="F1" s="33"/>
      <c r="G1" s="31"/>
      <c r="H1" s="31"/>
      <c r="I1" s="31"/>
      <c r="J1" s="31"/>
      <c r="K1" s="31"/>
      <c r="L1" s="33"/>
      <c r="M1" s="33"/>
      <c r="N1" s="31"/>
    </row>
    <row r="2" s="26" customFormat="1" ht="43" customHeight="1" spans="1:14">
      <c r="A2" s="34" t="s">
        <v>17</v>
      </c>
      <c r="B2" s="34"/>
      <c r="C2" s="34"/>
      <c r="D2" s="34"/>
      <c r="E2" s="34"/>
      <c r="F2" s="34"/>
      <c r="G2" s="34"/>
      <c r="H2" s="34"/>
      <c r="I2" s="34"/>
      <c r="J2" s="34"/>
      <c r="K2" s="34"/>
      <c r="L2" s="34"/>
      <c r="M2" s="34"/>
      <c r="N2" s="34"/>
    </row>
    <row r="3" s="27" customFormat="1" ht="33" customHeight="1" spans="1:14">
      <c r="A3" s="35" t="s">
        <v>2</v>
      </c>
      <c r="B3" s="35" t="s">
        <v>18</v>
      </c>
      <c r="C3" s="35" t="s">
        <v>19</v>
      </c>
      <c r="D3" s="35" t="s">
        <v>20</v>
      </c>
      <c r="E3" s="35" t="s">
        <v>21</v>
      </c>
      <c r="F3" s="35" t="s">
        <v>22</v>
      </c>
      <c r="G3" s="35" t="s">
        <v>23</v>
      </c>
      <c r="H3" s="14" t="s">
        <v>24</v>
      </c>
      <c r="I3" s="14"/>
      <c r="J3" s="36" t="s">
        <v>25</v>
      </c>
      <c r="K3" s="36" t="s">
        <v>97</v>
      </c>
      <c r="L3" s="36" t="s">
        <v>27</v>
      </c>
      <c r="M3" s="36" t="s">
        <v>28</v>
      </c>
      <c r="N3" s="35" t="s">
        <v>7</v>
      </c>
    </row>
    <row r="4" s="27" customFormat="1" ht="43" customHeight="1" spans="1:14">
      <c r="A4" s="43"/>
      <c r="B4" s="43"/>
      <c r="C4" s="43"/>
      <c r="D4" s="43"/>
      <c r="E4" s="43"/>
      <c r="F4" s="43"/>
      <c r="G4" s="43"/>
      <c r="H4" s="13" t="s">
        <v>98</v>
      </c>
      <c r="I4" s="14" t="s">
        <v>99</v>
      </c>
      <c r="J4" s="47"/>
      <c r="K4" s="47"/>
      <c r="L4" s="47"/>
      <c r="M4" s="47"/>
      <c r="N4" s="43"/>
    </row>
    <row r="5" s="28" customFormat="1" ht="98" customHeight="1" spans="1:14">
      <c r="A5" s="13">
        <v>1</v>
      </c>
      <c r="B5" s="15" t="s">
        <v>100</v>
      </c>
      <c r="C5" s="15" t="s">
        <v>101</v>
      </c>
      <c r="D5" s="15" t="s">
        <v>102</v>
      </c>
      <c r="E5" s="13" t="s">
        <v>50</v>
      </c>
      <c r="F5" s="14">
        <v>47.9</v>
      </c>
      <c r="G5" s="16"/>
      <c r="H5" s="16"/>
      <c r="I5" s="16"/>
      <c r="J5" s="16"/>
      <c r="K5" s="16"/>
      <c r="L5" s="14"/>
      <c r="M5" s="14"/>
      <c r="N5" s="14"/>
    </row>
    <row r="6" s="28" customFormat="1" ht="132" customHeight="1" spans="1:14">
      <c r="A6" s="13"/>
      <c r="B6" s="15" t="s">
        <v>103</v>
      </c>
      <c r="C6" s="15" t="s">
        <v>104</v>
      </c>
      <c r="D6" s="15" t="s">
        <v>102</v>
      </c>
      <c r="E6" s="13" t="s">
        <v>50</v>
      </c>
      <c r="F6" s="14">
        <f>5.125*1+(6.41+6.72)*1.1</f>
        <v>19.568</v>
      </c>
      <c r="G6" s="16"/>
      <c r="H6" s="16"/>
      <c r="I6" s="16"/>
      <c r="J6" s="16"/>
      <c r="K6" s="16"/>
      <c r="L6" s="14"/>
      <c r="M6" s="14"/>
      <c r="N6" s="14"/>
    </row>
    <row r="7" s="28" customFormat="1" ht="132" customHeight="1" spans="1:14">
      <c r="A7" s="13">
        <v>2</v>
      </c>
      <c r="B7" s="15" t="s">
        <v>105</v>
      </c>
      <c r="C7" s="15" t="s">
        <v>106</v>
      </c>
      <c r="D7" s="15" t="s">
        <v>102</v>
      </c>
      <c r="E7" s="13" t="s">
        <v>50</v>
      </c>
      <c r="F7" s="14">
        <f>'B02-05（包工包料） (2)'!M49+'B02-05（包工包料） (2)'!M50+'B02-05（包工包料） (2)'!M54</f>
        <v>34.125</v>
      </c>
      <c r="G7" s="16"/>
      <c r="H7" s="16"/>
      <c r="I7" s="16"/>
      <c r="J7" s="16"/>
      <c r="K7" s="16"/>
      <c r="L7" s="14"/>
      <c r="M7" s="14"/>
      <c r="N7" s="14"/>
    </row>
    <row r="8" s="28" customFormat="1" ht="118" customHeight="1" spans="1:14">
      <c r="A8" s="13">
        <v>3</v>
      </c>
      <c r="B8" s="15" t="s">
        <v>107</v>
      </c>
      <c r="C8" s="15" t="s">
        <v>106</v>
      </c>
      <c r="D8" s="15" t="s">
        <v>102</v>
      </c>
      <c r="E8" s="13" t="s">
        <v>50</v>
      </c>
      <c r="F8" s="14">
        <f>'B02-05（包工包料） (2)'!M66</f>
        <v>5.6</v>
      </c>
      <c r="G8" s="16"/>
      <c r="H8" s="16"/>
      <c r="I8" s="16"/>
      <c r="J8" s="16"/>
      <c r="K8" s="16"/>
      <c r="L8" s="14"/>
      <c r="M8" s="14"/>
      <c r="N8" s="14"/>
    </row>
    <row r="9" s="28" customFormat="1" ht="118" customHeight="1" spans="1:14">
      <c r="A9" s="13">
        <v>4</v>
      </c>
      <c r="B9" s="15" t="s">
        <v>108</v>
      </c>
      <c r="C9" s="15" t="s">
        <v>106</v>
      </c>
      <c r="D9" s="15" t="s">
        <v>102</v>
      </c>
      <c r="E9" s="13" t="s">
        <v>50</v>
      </c>
      <c r="F9" s="14">
        <f>'B02-05（包工包料） (2)'!M60</f>
        <v>3.6</v>
      </c>
      <c r="G9" s="16"/>
      <c r="H9" s="16"/>
      <c r="I9" s="16"/>
      <c r="J9" s="16"/>
      <c r="K9" s="16"/>
      <c r="L9" s="14"/>
      <c r="M9" s="14"/>
      <c r="N9" s="14"/>
    </row>
    <row r="10" s="28" customFormat="1" ht="118" customHeight="1" spans="1:14">
      <c r="A10" s="13">
        <v>5</v>
      </c>
      <c r="B10" s="15" t="s">
        <v>109</v>
      </c>
      <c r="C10" s="15" t="s">
        <v>106</v>
      </c>
      <c r="D10" s="15" t="s">
        <v>102</v>
      </c>
      <c r="E10" s="13" t="s">
        <v>50</v>
      </c>
      <c r="F10" s="14">
        <f>'B02-05（包工包料） (2)'!M52</f>
        <v>15.96</v>
      </c>
      <c r="G10" s="16"/>
      <c r="H10" s="16"/>
      <c r="I10" s="16"/>
      <c r="J10" s="16"/>
      <c r="K10" s="16"/>
      <c r="L10" s="14"/>
      <c r="M10" s="14"/>
      <c r="N10" s="14"/>
    </row>
    <row r="11" s="28" customFormat="1" ht="118" customHeight="1" spans="1:14">
      <c r="A11" s="13">
        <v>6</v>
      </c>
      <c r="B11" s="15" t="s">
        <v>110</v>
      </c>
      <c r="C11" s="15" t="s">
        <v>106</v>
      </c>
      <c r="D11" s="15" t="s">
        <v>102</v>
      </c>
      <c r="E11" s="13" t="s">
        <v>50</v>
      </c>
      <c r="F11" s="14">
        <f>'B02-05（包工包料） (2)'!M43+'B02-05（包工包料） (2)'!M47+'B02-05（包工包料） (2)'!M48+'B02-05（包工包料） (2)'!M51+'B02-05（包工包料） (2)'!M56+'B02-05（包工包料） (2)'!M57+'B02-05（包工包料） (2)'!M59+'B02-05（包工包料） (2)'!M61+'B02-05（包工包料） (2)'!M62</f>
        <v>115.61</v>
      </c>
      <c r="G11" s="16"/>
      <c r="H11" s="16"/>
      <c r="I11" s="16"/>
      <c r="J11" s="16"/>
      <c r="K11" s="16"/>
      <c r="L11" s="14"/>
      <c r="M11" s="14"/>
      <c r="N11" s="14"/>
    </row>
    <row r="12" s="28" customFormat="1" ht="123" customHeight="1" spans="1:14">
      <c r="A12" s="13">
        <v>7</v>
      </c>
      <c r="B12" s="15" t="s">
        <v>111</v>
      </c>
      <c r="C12" s="15" t="s">
        <v>112</v>
      </c>
      <c r="D12" s="15" t="s">
        <v>102</v>
      </c>
      <c r="E12" s="13" t="s">
        <v>50</v>
      </c>
      <c r="F12" s="14">
        <f>'B02-05（包工包料） (2)'!M55</f>
        <v>20.976</v>
      </c>
      <c r="G12" s="16"/>
      <c r="H12" s="16"/>
      <c r="I12" s="16"/>
      <c r="J12" s="16"/>
      <c r="K12" s="16"/>
      <c r="L12" s="14"/>
      <c r="M12" s="14"/>
      <c r="N12" s="14"/>
    </row>
    <row r="13" s="28" customFormat="1" ht="123" customHeight="1" spans="1:14">
      <c r="A13" s="13">
        <v>8</v>
      </c>
      <c r="B13" s="15" t="s">
        <v>113</v>
      </c>
      <c r="C13" s="15" t="s">
        <v>112</v>
      </c>
      <c r="D13" s="15" t="s">
        <v>102</v>
      </c>
      <c r="E13" s="13" t="s">
        <v>50</v>
      </c>
      <c r="F13" s="14">
        <v>116.13</v>
      </c>
      <c r="G13" s="16"/>
      <c r="H13" s="16"/>
      <c r="I13" s="16"/>
      <c r="J13" s="16"/>
      <c r="K13" s="16"/>
      <c r="L13" s="14"/>
      <c r="M13" s="14"/>
      <c r="N13" s="14"/>
    </row>
    <row r="14" s="28" customFormat="1" ht="123" customHeight="1" spans="1:14">
      <c r="A14" s="13">
        <v>9</v>
      </c>
      <c r="B14" s="15" t="s">
        <v>114</v>
      </c>
      <c r="C14" s="15" t="s">
        <v>112</v>
      </c>
      <c r="D14" s="15" t="s">
        <v>102</v>
      </c>
      <c r="E14" s="13" t="s">
        <v>50</v>
      </c>
      <c r="F14" s="14">
        <f>'B02-05（包工包料） (2)'!M64+'B02-05（包工包料） (2)'!M65</f>
        <v>32.703</v>
      </c>
      <c r="G14" s="16"/>
      <c r="H14" s="16"/>
      <c r="I14" s="16"/>
      <c r="J14" s="16"/>
      <c r="K14" s="16"/>
      <c r="L14" s="14"/>
      <c r="M14" s="14"/>
      <c r="N14" s="14"/>
    </row>
    <row r="15" s="28" customFormat="1" ht="82" customHeight="1" spans="1:14">
      <c r="A15" s="13">
        <v>10</v>
      </c>
      <c r="B15" s="15" t="s">
        <v>115</v>
      </c>
      <c r="C15" s="15" t="s">
        <v>116</v>
      </c>
      <c r="D15" s="15" t="s">
        <v>117</v>
      </c>
      <c r="E15" s="13" t="s">
        <v>118</v>
      </c>
      <c r="F15" s="14">
        <v>1</v>
      </c>
      <c r="G15" s="16"/>
      <c r="H15" s="16"/>
      <c r="I15" s="16"/>
      <c r="J15" s="16"/>
      <c r="K15" s="16"/>
      <c r="L15" s="14"/>
      <c r="M15" s="14"/>
      <c r="N15" s="14"/>
    </row>
    <row r="16" s="28" customFormat="1" ht="101" customHeight="1" spans="1:14">
      <c r="A16" s="13">
        <v>11</v>
      </c>
      <c r="B16" s="15" t="s">
        <v>119</v>
      </c>
      <c r="C16" s="15" t="s">
        <v>112</v>
      </c>
      <c r="D16" s="15" t="s">
        <v>102</v>
      </c>
      <c r="E16" s="13" t="s">
        <v>50</v>
      </c>
      <c r="F16" s="14">
        <v>17.86</v>
      </c>
      <c r="G16" s="16"/>
      <c r="H16" s="16"/>
      <c r="I16" s="16"/>
      <c r="J16" s="16"/>
      <c r="K16" s="16"/>
      <c r="L16" s="14"/>
      <c r="M16" s="14"/>
      <c r="N16" s="14"/>
    </row>
    <row r="17" s="28" customFormat="1" ht="119" customHeight="1" spans="1:14">
      <c r="A17" s="13">
        <v>12</v>
      </c>
      <c r="B17" s="44" t="s">
        <v>120</v>
      </c>
      <c r="C17" s="45" t="s">
        <v>121</v>
      </c>
      <c r="D17" s="44" t="s">
        <v>122</v>
      </c>
      <c r="E17" s="46" t="s">
        <v>123</v>
      </c>
      <c r="F17" s="14">
        <v>8</v>
      </c>
      <c r="G17" s="16"/>
      <c r="H17" s="16"/>
      <c r="I17" s="16"/>
      <c r="J17" s="16"/>
      <c r="K17" s="16"/>
      <c r="L17" s="14"/>
      <c r="M17" s="14"/>
      <c r="N17" s="14"/>
    </row>
    <row r="18" s="28" customFormat="1" ht="119" customHeight="1" spans="1:14">
      <c r="A18" s="13"/>
      <c r="B18" s="44" t="s">
        <v>124</v>
      </c>
      <c r="C18" s="45" t="s">
        <v>125</v>
      </c>
      <c r="D18" s="44" t="s">
        <v>126</v>
      </c>
      <c r="E18" s="46" t="s">
        <v>50</v>
      </c>
      <c r="F18" s="14">
        <f>6.34+8.39</f>
        <v>14.73</v>
      </c>
      <c r="G18" s="16"/>
      <c r="H18" s="16"/>
      <c r="I18" s="16"/>
      <c r="J18" s="16"/>
      <c r="K18" s="16"/>
      <c r="L18" s="14"/>
      <c r="M18" s="14"/>
      <c r="N18" s="14" t="s">
        <v>127</v>
      </c>
    </row>
    <row r="19" s="28" customFormat="1" ht="36" customHeight="1" spans="1:14">
      <c r="A19" s="13">
        <v>13</v>
      </c>
      <c r="B19" s="13" t="s">
        <v>92</v>
      </c>
      <c r="C19" s="15"/>
      <c r="D19" s="15"/>
      <c r="E19" s="13"/>
      <c r="F19" s="14"/>
      <c r="G19" s="13"/>
      <c r="H19" s="13"/>
      <c r="I19" s="13"/>
      <c r="J19" s="13"/>
      <c r="K19" s="13"/>
      <c r="L19" s="41"/>
      <c r="M19" s="41"/>
      <c r="N19" s="42"/>
    </row>
    <row r="20" s="28" customFormat="1" ht="36" customHeight="1" spans="1:14">
      <c r="A20" s="13">
        <v>14</v>
      </c>
      <c r="B20" s="37" t="s">
        <v>93</v>
      </c>
      <c r="C20" s="38"/>
      <c r="D20" s="38"/>
      <c r="E20" s="37"/>
      <c r="F20" s="39"/>
      <c r="G20" s="37"/>
      <c r="H20" s="37"/>
      <c r="I20" s="37"/>
      <c r="J20" s="37"/>
      <c r="K20" s="37"/>
      <c r="L20" s="41"/>
      <c r="M20" s="41"/>
      <c r="N20" s="42"/>
    </row>
    <row r="21" s="28" customFormat="1" ht="36" customHeight="1" spans="1:14">
      <c r="A21" s="13">
        <v>15</v>
      </c>
      <c r="B21" s="37" t="s">
        <v>94</v>
      </c>
      <c r="C21" s="38"/>
      <c r="D21" s="38"/>
      <c r="E21" s="37"/>
      <c r="F21" s="39"/>
      <c r="G21" s="37"/>
      <c r="H21" s="37"/>
      <c r="I21" s="37"/>
      <c r="J21" s="37"/>
      <c r="K21" s="37"/>
      <c r="L21" s="41"/>
      <c r="M21" s="41"/>
      <c r="N21" s="42"/>
    </row>
    <row r="22" s="28" customFormat="1" ht="321" customHeight="1" spans="1:15">
      <c r="A22" s="40" t="s">
        <v>128</v>
      </c>
      <c r="B22" s="40"/>
      <c r="C22" s="40"/>
      <c r="D22" s="40"/>
      <c r="E22" s="40"/>
      <c r="F22" s="40"/>
      <c r="G22" s="40"/>
      <c r="H22" s="40"/>
      <c r="I22" s="40"/>
      <c r="J22" s="40"/>
      <c r="K22" s="40"/>
      <c r="L22" s="40"/>
      <c r="M22" s="40"/>
      <c r="N22" s="40"/>
      <c r="O22" s="28" t="s">
        <v>129</v>
      </c>
    </row>
  </sheetData>
  <mergeCells count="19">
    <mergeCell ref="A1:N1"/>
    <mergeCell ref="A2:N2"/>
    <mergeCell ref="H3:I3"/>
    <mergeCell ref="B19:K19"/>
    <mergeCell ref="B20:K20"/>
    <mergeCell ref="B21:K21"/>
    <mergeCell ref="A22:N22"/>
    <mergeCell ref="A3:A4"/>
    <mergeCell ref="B3:B4"/>
    <mergeCell ref="C3:C4"/>
    <mergeCell ref="D3:D4"/>
    <mergeCell ref="E3:E4"/>
    <mergeCell ref="F3:F4"/>
    <mergeCell ref="G3:G4"/>
    <mergeCell ref="J3:J4"/>
    <mergeCell ref="K3:K4"/>
    <mergeCell ref="L3:L4"/>
    <mergeCell ref="M3:M4"/>
    <mergeCell ref="N3:N4"/>
  </mergeCells>
  <pageMargins left="0.751388888888889" right="0.751388888888889" top="0.60625" bottom="0.60625" header="0.5" footer="0.5"/>
  <pageSetup paperSize="9" scale="7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showGridLines="0" view="pageBreakPreview" zoomScaleNormal="100" workbookViewId="0">
      <pane ySplit="3" topLeftCell="A7" activePane="bottomLeft" state="frozen"/>
      <selection/>
      <selection pane="bottomLeft" activeCell="E17" sqref="E17"/>
    </sheetView>
  </sheetViews>
  <sheetFormatPr defaultColWidth="7.875" defaultRowHeight="11.25"/>
  <cols>
    <col min="1" max="1" width="6.41666666666667" style="28" customWidth="1"/>
    <col min="2" max="2" width="17.5" style="28" customWidth="1"/>
    <col min="3" max="3" width="39" style="29" customWidth="1"/>
    <col min="4" max="4" width="16.875" style="29" customWidth="1"/>
    <col min="5" max="5" width="8.45833333333333" style="28" customWidth="1"/>
    <col min="6" max="6" width="11.8166666666667" style="30" customWidth="1"/>
    <col min="7" max="10" width="11.75" style="28" customWidth="1"/>
    <col min="11" max="11" width="11.75" style="30" customWidth="1"/>
    <col min="12" max="12" width="14.6166666666667" style="30" customWidth="1"/>
    <col min="13" max="13" width="11.625" style="27" customWidth="1"/>
    <col min="14" max="16384" width="7.875" style="28"/>
  </cols>
  <sheetData>
    <row r="1" ht="39.75" customHeight="1" spans="1:13">
      <c r="A1" s="31" t="s">
        <v>130</v>
      </c>
      <c r="B1" s="31"/>
      <c r="C1" s="32"/>
      <c r="D1" s="32"/>
      <c r="E1" s="31"/>
      <c r="F1" s="33"/>
      <c r="G1" s="31"/>
      <c r="H1" s="31"/>
      <c r="I1" s="31"/>
      <c r="J1" s="31"/>
      <c r="K1" s="33"/>
      <c r="L1" s="33"/>
      <c r="M1" s="31"/>
    </row>
    <row r="2" s="26" customFormat="1" ht="43" customHeight="1" spans="1:13">
      <c r="A2" s="34" t="s">
        <v>17</v>
      </c>
      <c r="B2" s="34"/>
      <c r="C2" s="34"/>
      <c r="D2" s="34"/>
      <c r="E2" s="34"/>
      <c r="F2" s="34"/>
      <c r="G2" s="34"/>
      <c r="H2" s="34"/>
      <c r="I2" s="34"/>
      <c r="J2" s="34"/>
      <c r="K2" s="34"/>
      <c r="L2" s="34"/>
      <c r="M2" s="34"/>
    </row>
    <row r="3" s="27" customFormat="1" ht="59" customHeight="1" spans="1:13">
      <c r="A3" s="35" t="s">
        <v>2</v>
      </c>
      <c r="B3" s="35" t="s">
        <v>18</v>
      </c>
      <c r="C3" s="35" t="s">
        <v>19</v>
      </c>
      <c r="D3" s="35" t="s">
        <v>20</v>
      </c>
      <c r="E3" s="35" t="s">
        <v>21</v>
      </c>
      <c r="F3" s="36" t="s">
        <v>22</v>
      </c>
      <c r="G3" s="36" t="s">
        <v>23</v>
      </c>
      <c r="H3" s="14" t="s">
        <v>24</v>
      </c>
      <c r="I3" s="14" t="s">
        <v>25</v>
      </c>
      <c r="J3" s="14" t="s">
        <v>26</v>
      </c>
      <c r="K3" s="14" t="s">
        <v>27</v>
      </c>
      <c r="L3" s="14" t="s">
        <v>28</v>
      </c>
      <c r="M3" s="13" t="s">
        <v>7</v>
      </c>
    </row>
    <row r="4" s="28" customFormat="1" ht="56" customHeight="1" spans="1:13">
      <c r="A4" s="13">
        <v>1</v>
      </c>
      <c r="B4" s="15" t="s">
        <v>131</v>
      </c>
      <c r="C4" s="15" t="s">
        <v>132</v>
      </c>
      <c r="D4" s="15" t="s">
        <v>133</v>
      </c>
      <c r="E4" s="13" t="s">
        <v>86</v>
      </c>
      <c r="F4" s="14">
        <v>1</v>
      </c>
      <c r="G4" s="16"/>
      <c r="H4" s="16"/>
      <c r="I4" s="16"/>
      <c r="J4" s="16"/>
      <c r="K4" s="14"/>
      <c r="L4" s="14"/>
      <c r="M4" s="14"/>
    </row>
    <row r="5" s="28" customFormat="1" ht="57" customHeight="1" spans="1:13">
      <c r="A5" s="13">
        <v>2</v>
      </c>
      <c r="B5" s="15" t="s">
        <v>134</v>
      </c>
      <c r="C5" s="15" t="s">
        <v>132</v>
      </c>
      <c r="D5" s="15" t="s">
        <v>133</v>
      </c>
      <c r="E5" s="13" t="s">
        <v>86</v>
      </c>
      <c r="F5" s="14">
        <v>1</v>
      </c>
      <c r="G5" s="16"/>
      <c r="H5" s="16"/>
      <c r="I5" s="16"/>
      <c r="J5" s="16"/>
      <c r="K5" s="14"/>
      <c r="L5" s="14"/>
      <c r="M5" s="14"/>
    </row>
    <row r="6" s="28" customFormat="1" ht="70" customHeight="1" spans="1:13">
      <c r="A6" s="13">
        <v>3</v>
      </c>
      <c r="B6" s="15" t="s">
        <v>135</v>
      </c>
      <c r="C6" s="15" t="s">
        <v>136</v>
      </c>
      <c r="D6" s="15" t="s">
        <v>137</v>
      </c>
      <c r="E6" s="13" t="s">
        <v>86</v>
      </c>
      <c r="F6" s="14">
        <v>10</v>
      </c>
      <c r="G6" s="16"/>
      <c r="H6" s="16"/>
      <c r="I6" s="16"/>
      <c r="J6" s="16"/>
      <c r="K6" s="14"/>
      <c r="L6" s="14"/>
      <c r="M6" s="14"/>
    </row>
    <row r="7" s="28" customFormat="1" ht="71" customHeight="1" spans="1:13">
      <c r="A7" s="13">
        <v>4</v>
      </c>
      <c r="B7" s="15" t="s">
        <v>138</v>
      </c>
      <c r="C7" s="15" t="s">
        <v>139</v>
      </c>
      <c r="D7" s="15" t="s">
        <v>137</v>
      </c>
      <c r="E7" s="13" t="s">
        <v>86</v>
      </c>
      <c r="F7" s="14">
        <v>20</v>
      </c>
      <c r="G7" s="16"/>
      <c r="H7" s="16"/>
      <c r="I7" s="16"/>
      <c r="J7" s="16"/>
      <c r="K7" s="14"/>
      <c r="L7" s="14"/>
      <c r="M7" s="14"/>
    </row>
    <row r="8" s="28" customFormat="1" ht="36" customHeight="1" spans="1:13">
      <c r="A8" s="13">
        <v>5</v>
      </c>
      <c r="B8" s="13" t="s">
        <v>92</v>
      </c>
      <c r="C8" s="15"/>
      <c r="D8" s="15"/>
      <c r="E8" s="13"/>
      <c r="F8" s="14"/>
      <c r="G8" s="13"/>
      <c r="H8" s="13"/>
      <c r="I8" s="13"/>
      <c r="J8" s="13"/>
      <c r="K8" s="41"/>
      <c r="L8" s="41"/>
      <c r="M8" s="42"/>
    </row>
    <row r="9" s="28" customFormat="1" ht="36" customHeight="1" spans="1:13">
      <c r="A9" s="13">
        <v>6</v>
      </c>
      <c r="B9" s="37" t="s">
        <v>93</v>
      </c>
      <c r="C9" s="38"/>
      <c r="D9" s="38"/>
      <c r="E9" s="37"/>
      <c r="F9" s="39"/>
      <c r="G9" s="37"/>
      <c r="H9" s="37"/>
      <c r="I9" s="37"/>
      <c r="J9" s="37"/>
      <c r="K9" s="41"/>
      <c r="L9" s="41"/>
      <c r="M9" s="42"/>
    </row>
    <row r="10" s="28" customFormat="1" ht="36" customHeight="1" spans="1:13">
      <c r="A10" s="13">
        <v>7</v>
      </c>
      <c r="B10" s="37" t="s">
        <v>94</v>
      </c>
      <c r="C10" s="38"/>
      <c r="D10" s="38"/>
      <c r="E10" s="37"/>
      <c r="F10" s="39"/>
      <c r="G10" s="37"/>
      <c r="H10" s="37"/>
      <c r="I10" s="37"/>
      <c r="J10" s="37"/>
      <c r="K10" s="41"/>
      <c r="L10" s="41"/>
      <c r="M10" s="42"/>
    </row>
    <row r="11" ht="219" customHeight="1" spans="1:13">
      <c r="A11" s="40" t="s">
        <v>140</v>
      </c>
      <c r="B11" s="40"/>
      <c r="C11" s="40"/>
      <c r="D11" s="40"/>
      <c r="E11" s="40"/>
      <c r="F11" s="40"/>
      <c r="G11" s="40"/>
      <c r="H11" s="40"/>
      <c r="I11" s="40"/>
      <c r="J11" s="40"/>
      <c r="K11" s="40"/>
      <c r="L11" s="40"/>
      <c r="M11" s="40"/>
    </row>
  </sheetData>
  <mergeCells count="6">
    <mergeCell ref="A1:M1"/>
    <mergeCell ref="A2:M2"/>
    <mergeCell ref="B8:J8"/>
    <mergeCell ref="B9:J9"/>
    <mergeCell ref="B10:J10"/>
    <mergeCell ref="A11:M11"/>
  </mergeCells>
  <printOptions horizontalCentered="1"/>
  <pageMargins left="0" right="0.200694444444444" top="0.594444444444444" bottom="0" header="0.594444444444444" footer="0"/>
  <pageSetup paperSize="9" scale="77"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83"/>
  <sheetViews>
    <sheetView showGridLines="0" view="pageBreakPreview" zoomScaleNormal="100" workbookViewId="0">
      <pane ySplit="3" topLeftCell="A19" activePane="bottomLeft" state="frozen"/>
      <selection/>
      <selection pane="bottomLeft" activeCell="G4" sqref="G4"/>
    </sheetView>
  </sheetViews>
  <sheetFormatPr defaultColWidth="7.875" defaultRowHeight="11.25"/>
  <cols>
    <col min="1" max="1" width="6.41666666666667" style="4" customWidth="1"/>
    <col min="2" max="2" width="17.5" style="4" customWidth="1"/>
    <col min="3" max="3" width="27.5" style="5" hidden="1" customWidth="1"/>
    <col min="4" max="4" width="16.875" style="5" customWidth="1"/>
    <col min="5" max="5" width="8.45833333333333" style="4" customWidth="1"/>
    <col min="6" max="6" width="11.8166666666667" style="6" customWidth="1"/>
    <col min="7" max="8" width="11.8166666666667" style="4" customWidth="1"/>
    <col min="9" max="9" width="14.7333333333333" style="4" customWidth="1"/>
    <col min="10" max="10" width="13.5" style="6" customWidth="1"/>
    <col min="11" max="11" width="12.4" style="6" customWidth="1"/>
    <col min="12" max="14" width="14" style="7" customWidth="1"/>
    <col min="15" max="17" width="10.375" style="4" customWidth="1"/>
    <col min="18" max="18" width="7.875" style="4"/>
    <col min="19" max="19" width="9.625" style="4"/>
    <col min="20" max="16384" width="7.875" style="4"/>
  </cols>
  <sheetData>
    <row r="1" ht="39.75" customHeight="1" spans="1:14">
      <c r="A1" s="8" t="s">
        <v>141</v>
      </c>
      <c r="B1" s="8"/>
      <c r="C1" s="9"/>
      <c r="D1" s="9"/>
      <c r="E1" s="8"/>
      <c r="F1" s="10"/>
      <c r="G1" s="8"/>
      <c r="H1" s="8"/>
      <c r="I1" s="8"/>
      <c r="J1" s="10"/>
      <c r="K1" s="10"/>
      <c r="L1" s="8"/>
      <c r="M1" s="8"/>
      <c r="N1" s="8"/>
    </row>
    <row r="2" s="1" customFormat="1" ht="28.5" customHeight="1" spans="1:14">
      <c r="A2" s="11" t="s">
        <v>142</v>
      </c>
      <c r="B2" s="11"/>
      <c r="C2" s="11"/>
      <c r="D2" s="11"/>
      <c r="E2" s="11"/>
      <c r="F2" s="12"/>
      <c r="G2" s="11"/>
      <c r="H2" s="11"/>
      <c r="I2" s="11"/>
      <c r="J2" s="12"/>
      <c r="K2" s="12"/>
      <c r="L2" s="17"/>
      <c r="M2" s="17"/>
      <c r="N2" s="17"/>
    </row>
    <row r="3" s="2" customFormat="1" ht="45" customHeight="1" spans="1:14">
      <c r="A3" s="13" t="s">
        <v>2</v>
      </c>
      <c r="B3" s="13" t="s">
        <v>18</v>
      </c>
      <c r="C3" s="13" t="s">
        <v>19</v>
      </c>
      <c r="D3" s="13" t="s">
        <v>20</v>
      </c>
      <c r="E3" s="13" t="s">
        <v>21</v>
      </c>
      <c r="F3" s="14" t="s">
        <v>22</v>
      </c>
      <c r="G3" s="14" t="s">
        <v>23</v>
      </c>
      <c r="H3" s="14" t="s">
        <v>24</v>
      </c>
      <c r="I3" s="14" t="s">
        <v>143</v>
      </c>
      <c r="J3" s="14" t="s">
        <v>144</v>
      </c>
      <c r="K3" s="14" t="s">
        <v>145</v>
      </c>
      <c r="L3" s="13" t="s">
        <v>7</v>
      </c>
      <c r="M3" s="13"/>
      <c r="N3" s="13"/>
    </row>
    <row r="4" s="3" customFormat="1" ht="108" spans="1:14">
      <c r="A4" s="13">
        <v>1</v>
      </c>
      <c r="B4" s="15" t="s">
        <v>146</v>
      </c>
      <c r="C4" s="15" t="s">
        <v>147</v>
      </c>
      <c r="D4" s="15" t="s">
        <v>148</v>
      </c>
      <c r="E4" s="13" t="s">
        <v>32</v>
      </c>
      <c r="F4" s="14">
        <f>392.36+23.83</f>
        <v>416.19</v>
      </c>
      <c r="G4" s="16"/>
      <c r="H4" s="16"/>
      <c r="I4" s="16"/>
      <c r="J4" s="14"/>
      <c r="K4" s="14"/>
      <c r="L4" s="14"/>
      <c r="M4" s="14"/>
      <c r="N4" s="14"/>
    </row>
    <row r="5" s="3" customFormat="1" ht="114" customHeight="1" spans="1:14">
      <c r="A5" s="13"/>
      <c r="B5" s="15" t="s">
        <v>149</v>
      </c>
      <c r="C5" s="15" t="s">
        <v>150</v>
      </c>
      <c r="D5" s="15" t="s">
        <v>148</v>
      </c>
      <c r="E5" s="13" t="s">
        <v>32</v>
      </c>
      <c r="F5" s="14">
        <v>51.78</v>
      </c>
      <c r="G5" s="16"/>
      <c r="H5" s="16"/>
      <c r="I5" s="16"/>
      <c r="J5" s="14"/>
      <c r="K5" s="14"/>
      <c r="L5" s="14"/>
      <c r="M5" s="14"/>
      <c r="N5" s="14"/>
    </row>
    <row r="6" s="3" customFormat="1" ht="129" customHeight="1" spans="1:14">
      <c r="A6" s="13">
        <v>2</v>
      </c>
      <c r="B6" s="15" t="s">
        <v>151</v>
      </c>
      <c r="C6" s="15" t="s">
        <v>152</v>
      </c>
      <c r="D6" s="15" t="s">
        <v>148</v>
      </c>
      <c r="E6" s="13" t="s">
        <v>32</v>
      </c>
      <c r="F6" s="14">
        <f>277.09+76.44</f>
        <v>353.53</v>
      </c>
      <c r="G6" s="16"/>
      <c r="H6" s="16"/>
      <c r="I6" s="16"/>
      <c r="J6" s="14"/>
      <c r="K6" s="14"/>
      <c r="L6" s="14"/>
      <c r="M6" s="14"/>
      <c r="N6" s="14"/>
    </row>
    <row r="7" s="3" customFormat="1" ht="129" customHeight="1" spans="1:14">
      <c r="A7" s="13">
        <v>3</v>
      </c>
      <c r="B7" s="15" t="s">
        <v>153</v>
      </c>
      <c r="C7" s="15" t="s">
        <v>154</v>
      </c>
      <c r="D7" s="15" t="s">
        <v>148</v>
      </c>
      <c r="E7" s="13" t="s">
        <v>32</v>
      </c>
      <c r="F7" s="14">
        <v>51.1</v>
      </c>
      <c r="G7" s="16"/>
      <c r="H7" s="16"/>
      <c r="I7" s="16"/>
      <c r="J7" s="14"/>
      <c r="K7" s="14"/>
      <c r="L7" s="14"/>
      <c r="M7" s="14"/>
      <c r="N7" s="14"/>
    </row>
    <row r="8" s="3" customFormat="1" ht="105" customHeight="1" spans="1:14">
      <c r="A8" s="13">
        <v>4</v>
      </c>
      <c r="B8" s="15" t="s">
        <v>155</v>
      </c>
      <c r="C8" s="15" t="s">
        <v>156</v>
      </c>
      <c r="D8" s="15" t="s">
        <v>148</v>
      </c>
      <c r="E8" s="13" t="s">
        <v>32</v>
      </c>
      <c r="F8" s="14">
        <v>22.24</v>
      </c>
      <c r="G8" s="16"/>
      <c r="H8" s="16"/>
      <c r="I8" s="16"/>
      <c r="J8" s="14"/>
      <c r="K8" s="14"/>
      <c r="L8" s="14"/>
      <c r="M8" s="14"/>
      <c r="N8" s="14"/>
    </row>
    <row r="9" s="3" customFormat="1" ht="120" customHeight="1" spans="1:14">
      <c r="A9" s="13">
        <v>5</v>
      </c>
      <c r="B9" s="15" t="s">
        <v>157</v>
      </c>
      <c r="C9" s="15" t="s">
        <v>158</v>
      </c>
      <c r="D9" s="15" t="s">
        <v>148</v>
      </c>
      <c r="E9" s="13" t="s">
        <v>32</v>
      </c>
      <c r="F9" s="14">
        <v>221.72</v>
      </c>
      <c r="G9" s="16"/>
      <c r="H9" s="16"/>
      <c r="I9" s="16"/>
      <c r="J9" s="14"/>
      <c r="K9" s="14"/>
      <c r="L9" s="14"/>
      <c r="M9" s="14"/>
      <c r="N9" s="14"/>
    </row>
    <row r="10" s="3" customFormat="1" ht="120" customHeight="1" spans="1:14">
      <c r="A10" s="13"/>
      <c r="B10" s="15" t="s">
        <v>159</v>
      </c>
      <c r="C10" s="15" t="s">
        <v>160</v>
      </c>
      <c r="D10" s="15" t="s">
        <v>148</v>
      </c>
      <c r="E10" s="13" t="s">
        <v>32</v>
      </c>
      <c r="F10" s="14">
        <v>18</v>
      </c>
      <c r="G10" s="16"/>
      <c r="H10" s="16"/>
      <c r="I10" s="16"/>
      <c r="J10" s="14"/>
      <c r="K10" s="14"/>
      <c r="L10" s="14"/>
      <c r="M10" s="14"/>
      <c r="N10" s="14"/>
    </row>
    <row r="11" s="3" customFormat="1" ht="120" customHeight="1" spans="1:22">
      <c r="A11" s="13"/>
      <c r="B11" s="15" t="s">
        <v>161</v>
      </c>
      <c r="C11" s="15" t="s">
        <v>152</v>
      </c>
      <c r="D11" s="15" t="s">
        <v>148</v>
      </c>
      <c r="E11" s="13" t="s">
        <v>32</v>
      </c>
      <c r="F11" s="14">
        <v>22.71</v>
      </c>
      <c r="G11" s="16"/>
      <c r="H11" s="16"/>
      <c r="I11" s="16"/>
      <c r="J11" s="14"/>
      <c r="K11" s="14"/>
      <c r="L11" s="14"/>
      <c r="M11" s="14"/>
      <c r="N11" s="14"/>
      <c r="O11" s="3"/>
      <c r="U11" s="3">
        <v>7.85</v>
      </c>
      <c r="V11" s="3">
        <v>2.07</v>
      </c>
    </row>
    <row r="12" s="3" customFormat="1" ht="60" customHeight="1" spans="1:16">
      <c r="A12" s="13"/>
      <c r="B12" s="15" t="s">
        <v>162</v>
      </c>
      <c r="C12" s="15" t="s">
        <v>163</v>
      </c>
      <c r="D12" s="15" t="s">
        <v>164</v>
      </c>
      <c r="E12" s="13" t="s">
        <v>50</v>
      </c>
      <c r="F12" s="14">
        <v>81.77</v>
      </c>
      <c r="G12" s="16"/>
      <c r="H12" s="16"/>
      <c r="I12" s="16"/>
      <c r="J12" s="14"/>
      <c r="K12" s="14"/>
      <c r="L12" s="14"/>
      <c r="M12" s="14"/>
      <c r="N12" s="14"/>
      <c r="O12" s="3"/>
      <c r="P12" s="3"/>
    </row>
    <row r="13" s="3" customFormat="1" ht="122" customHeight="1" spans="1:14">
      <c r="A13" s="13"/>
      <c r="B13" s="15" t="s">
        <v>51</v>
      </c>
      <c r="C13" s="15" t="s">
        <v>165</v>
      </c>
      <c r="D13" s="15" t="s">
        <v>164</v>
      </c>
      <c r="E13" s="13" t="s">
        <v>50</v>
      </c>
      <c r="F13" s="14">
        <v>447.17</v>
      </c>
      <c r="G13" s="16"/>
      <c r="H13" s="16"/>
      <c r="I13" s="16"/>
      <c r="J13" s="14"/>
      <c r="K13" s="14"/>
      <c r="L13" s="14"/>
      <c r="M13" s="14"/>
      <c r="N13" s="14"/>
    </row>
    <row r="14" s="3" customFormat="1" ht="156" spans="1:19">
      <c r="A14" s="13"/>
      <c r="B14" s="15" t="s">
        <v>53</v>
      </c>
      <c r="C14" s="15" t="s">
        <v>54</v>
      </c>
      <c r="D14" s="15" t="s">
        <v>164</v>
      </c>
      <c r="E14" s="13" t="s">
        <v>50</v>
      </c>
      <c r="F14" s="14">
        <f>234.92+4.24</f>
        <v>239.16</v>
      </c>
      <c r="G14" s="16"/>
      <c r="H14" s="16"/>
      <c r="I14" s="16"/>
      <c r="J14" s="14"/>
      <c r="K14" s="14"/>
      <c r="L14" s="14"/>
      <c r="M14" s="14"/>
      <c r="N14" s="14"/>
      <c r="P14" s="3">
        <f>1.5*1.05*U11*6+5</f>
        <v>79.1825</v>
      </c>
      <c r="R14" s="3" t="s">
        <v>166</v>
      </c>
      <c r="S14" s="3" t="s">
        <v>166</v>
      </c>
    </row>
    <row r="15" s="3" customFormat="1" ht="69" customHeight="1" spans="1:19">
      <c r="A15" s="13"/>
      <c r="B15" s="15" t="s">
        <v>167</v>
      </c>
      <c r="C15" s="15" t="s">
        <v>168</v>
      </c>
      <c r="D15" s="15" t="s">
        <v>164</v>
      </c>
      <c r="E15" s="13" t="s">
        <v>50</v>
      </c>
      <c r="F15" s="14">
        <f>54.77+30.32</f>
        <v>85.09</v>
      </c>
      <c r="G15" s="16"/>
      <c r="H15" s="16"/>
      <c r="I15" s="16"/>
      <c r="J15" s="14"/>
      <c r="K15" s="14"/>
      <c r="L15" s="14"/>
      <c r="M15" s="14"/>
      <c r="N15" s="14"/>
      <c r="O15" s="3">
        <f>(R15+S15)*0.032*3*U11*1.05</f>
        <v>36.39888</v>
      </c>
      <c r="P15" s="3">
        <f>2*V11*1.05</f>
        <v>4.347</v>
      </c>
      <c r="Q15" s="3">
        <f>O15*5+P15*8+20</f>
        <v>236.7704</v>
      </c>
      <c r="R15" s="3">
        <v>35</v>
      </c>
      <c r="S15" s="3">
        <v>11</v>
      </c>
    </row>
    <row r="16" s="3" customFormat="1" ht="97" customHeight="1" spans="1:14">
      <c r="A16" s="13"/>
      <c r="B16" s="15" t="s">
        <v>169</v>
      </c>
      <c r="C16" s="15" t="s">
        <v>60</v>
      </c>
      <c r="D16" s="15" t="s">
        <v>164</v>
      </c>
      <c r="E16" s="13" t="s">
        <v>50</v>
      </c>
      <c r="F16" s="14">
        <v>71.88</v>
      </c>
      <c r="G16" s="16"/>
      <c r="H16" s="16"/>
      <c r="I16" s="16"/>
      <c r="J16" s="14"/>
      <c r="K16" s="14"/>
      <c r="L16" s="14"/>
      <c r="M16" s="14"/>
      <c r="N16" s="14"/>
    </row>
    <row r="17" s="3" customFormat="1" ht="62" customHeight="1" spans="1:14">
      <c r="A17" s="13"/>
      <c r="B17" s="15" t="s">
        <v>61</v>
      </c>
      <c r="C17" s="15" t="s">
        <v>62</v>
      </c>
      <c r="D17" s="15" t="s">
        <v>164</v>
      </c>
      <c r="E17" s="13" t="s">
        <v>50</v>
      </c>
      <c r="F17" s="14">
        <f>3.62+2.07</f>
        <v>5.69</v>
      </c>
      <c r="G17" s="16"/>
      <c r="H17" s="16"/>
      <c r="I17" s="16"/>
      <c r="J17" s="14"/>
      <c r="K17" s="14"/>
      <c r="L17" s="14"/>
      <c r="M17" s="14"/>
      <c r="N17" s="14"/>
    </row>
    <row r="18" s="3" customFormat="1" ht="64" customHeight="1" spans="1:14">
      <c r="A18" s="13"/>
      <c r="B18" s="15" t="s">
        <v>66</v>
      </c>
      <c r="C18" s="15" t="s">
        <v>67</v>
      </c>
      <c r="D18" s="15" t="s">
        <v>164</v>
      </c>
      <c r="E18" s="13" t="s">
        <v>50</v>
      </c>
      <c r="F18" s="14">
        <v>0.44</v>
      </c>
      <c r="G18" s="16"/>
      <c r="H18" s="16"/>
      <c r="I18" s="16"/>
      <c r="J18" s="14"/>
      <c r="K18" s="14"/>
      <c r="L18" s="14"/>
      <c r="M18" s="14"/>
      <c r="N18" s="14"/>
    </row>
    <row r="19" s="3" customFormat="1" ht="71" customHeight="1" spans="1:14">
      <c r="A19" s="13"/>
      <c r="B19" s="15" t="s">
        <v>68</v>
      </c>
      <c r="C19" s="15" t="s">
        <v>69</v>
      </c>
      <c r="D19" s="15" t="s">
        <v>164</v>
      </c>
      <c r="E19" s="13" t="s">
        <v>50</v>
      </c>
      <c r="F19" s="14">
        <v>5.1</v>
      </c>
      <c r="G19" s="16"/>
      <c r="H19" s="16"/>
      <c r="I19" s="16"/>
      <c r="J19" s="14"/>
      <c r="K19" s="14"/>
      <c r="L19" s="14"/>
      <c r="M19" s="14"/>
      <c r="N19" s="14"/>
    </row>
    <row r="20" s="3" customFormat="1" ht="91" customHeight="1" spans="1:14">
      <c r="A20" s="13"/>
      <c r="B20" s="15" t="s">
        <v>70</v>
      </c>
      <c r="C20" s="15" t="s">
        <v>71</v>
      </c>
      <c r="D20" s="15" t="s">
        <v>164</v>
      </c>
      <c r="E20" s="13" t="s">
        <v>50</v>
      </c>
      <c r="F20" s="14">
        <f>165.93+16.34</f>
        <v>182.27</v>
      </c>
      <c r="G20" s="16"/>
      <c r="H20" s="16"/>
      <c r="I20" s="16"/>
      <c r="J20" s="14"/>
      <c r="K20" s="14"/>
      <c r="L20" s="14"/>
      <c r="M20" s="14"/>
      <c r="N20" s="14"/>
    </row>
    <row r="21" s="3" customFormat="1" ht="91" customHeight="1" spans="1:14">
      <c r="A21" s="13"/>
      <c r="B21" s="15" t="s">
        <v>170</v>
      </c>
      <c r="C21" s="15" t="s">
        <v>171</v>
      </c>
      <c r="D21" s="15" t="s">
        <v>164</v>
      </c>
      <c r="E21" s="13" t="s">
        <v>50</v>
      </c>
      <c r="F21" s="14"/>
      <c r="G21" s="16"/>
      <c r="H21" s="16"/>
      <c r="I21" s="16"/>
      <c r="J21" s="14"/>
      <c r="K21" s="14"/>
      <c r="L21" s="14"/>
      <c r="M21" s="14"/>
      <c r="N21" s="14"/>
    </row>
    <row r="22" s="3" customFormat="1" ht="77" customHeight="1" spans="1:14">
      <c r="A22" s="13"/>
      <c r="B22" s="15" t="s">
        <v>72</v>
      </c>
      <c r="C22" s="15" t="s">
        <v>73</v>
      </c>
      <c r="D22" s="15" t="s">
        <v>164</v>
      </c>
      <c r="E22" s="13" t="s">
        <v>50</v>
      </c>
      <c r="F22" s="14">
        <v>1.68</v>
      </c>
      <c r="G22" s="16"/>
      <c r="H22" s="16"/>
      <c r="I22" s="16"/>
      <c r="J22" s="14"/>
      <c r="K22" s="14"/>
      <c r="L22" s="14"/>
      <c r="M22" s="14"/>
      <c r="N22" s="14"/>
    </row>
    <row r="23" s="3" customFormat="1" ht="52" customHeight="1" spans="1:14">
      <c r="A23" s="13"/>
      <c r="B23" s="15" t="s">
        <v>74</v>
      </c>
      <c r="C23" s="15" t="s">
        <v>172</v>
      </c>
      <c r="D23" s="15" t="s">
        <v>164</v>
      </c>
      <c r="E23" s="13" t="s">
        <v>50</v>
      </c>
      <c r="F23" s="13">
        <v>29.75</v>
      </c>
      <c r="G23" s="16"/>
      <c r="H23" s="16"/>
      <c r="I23" s="16"/>
      <c r="J23" s="14"/>
      <c r="K23" s="14"/>
      <c r="L23" s="14"/>
      <c r="M23" s="14"/>
      <c r="N23" s="14"/>
    </row>
    <row r="24" s="3" customFormat="1" ht="54" customHeight="1" spans="1:14">
      <c r="A24" s="13"/>
      <c r="B24" s="15" t="s">
        <v>76</v>
      </c>
      <c r="C24" s="15" t="s">
        <v>173</v>
      </c>
      <c r="D24" s="15" t="s">
        <v>164</v>
      </c>
      <c r="E24" s="13" t="s">
        <v>50</v>
      </c>
      <c r="F24" s="14">
        <f>2.47+0.52+1.3+1.17</f>
        <v>5.46</v>
      </c>
      <c r="G24" s="16"/>
      <c r="H24" s="16"/>
      <c r="I24" s="16"/>
      <c r="J24" s="14"/>
      <c r="K24" s="14"/>
      <c r="L24" s="14"/>
      <c r="M24" s="14"/>
      <c r="N24" s="14"/>
    </row>
    <row r="25" s="3" customFormat="1" ht="44" customHeight="1" spans="1:14">
      <c r="A25" s="13"/>
      <c r="B25" s="15" t="s">
        <v>80</v>
      </c>
      <c r="C25" s="15" t="s">
        <v>174</v>
      </c>
      <c r="D25" s="15" t="s">
        <v>148</v>
      </c>
      <c r="E25" s="13" t="s">
        <v>32</v>
      </c>
      <c r="F25" s="14">
        <v>4.2</v>
      </c>
      <c r="G25" s="16"/>
      <c r="H25" s="16"/>
      <c r="I25" s="16"/>
      <c r="J25" s="14"/>
      <c r="K25" s="14"/>
      <c r="L25" s="14"/>
      <c r="M25" s="14"/>
      <c r="N25" s="14"/>
    </row>
    <row r="26" s="3" customFormat="1" ht="87" customHeight="1" spans="1:17">
      <c r="A26" s="13"/>
      <c r="B26" s="15" t="s">
        <v>83</v>
      </c>
      <c r="C26" s="15" t="s">
        <v>84</v>
      </c>
      <c r="D26" s="15" t="s">
        <v>175</v>
      </c>
      <c r="E26" s="13" t="s">
        <v>86</v>
      </c>
      <c r="F26" s="14">
        <v>12</v>
      </c>
      <c r="G26" s="16"/>
      <c r="H26" s="16"/>
      <c r="I26" s="16"/>
      <c r="J26" s="14"/>
      <c r="K26" s="14"/>
      <c r="L26" s="14"/>
      <c r="M26" s="14"/>
      <c r="N26" s="14"/>
      <c r="O26" s="3">
        <f>P26*Q26</f>
        <v>5.19</v>
      </c>
      <c r="P26" s="3">
        <v>1.2</v>
      </c>
      <c r="Q26" s="3">
        <v>4.325</v>
      </c>
    </row>
    <row r="27" s="3" customFormat="1" ht="113" customHeight="1" spans="1:14">
      <c r="A27" s="13"/>
      <c r="B27" s="15" t="s">
        <v>176</v>
      </c>
      <c r="C27" s="15" t="s">
        <v>177</v>
      </c>
      <c r="D27" s="15" t="s">
        <v>102</v>
      </c>
      <c r="E27" s="13" t="s">
        <v>50</v>
      </c>
      <c r="F27" s="14">
        <v>121.98</v>
      </c>
      <c r="G27" s="16"/>
      <c r="H27" s="16"/>
      <c r="I27" s="16"/>
      <c r="J27" s="14"/>
      <c r="K27" s="14"/>
      <c r="L27" s="14"/>
      <c r="M27" s="14"/>
      <c r="N27" s="14"/>
    </row>
    <row r="28" s="3" customFormat="1" ht="45" customHeight="1" spans="1:14">
      <c r="A28" s="13"/>
      <c r="B28" s="15" t="s">
        <v>178</v>
      </c>
      <c r="C28" s="15" t="s">
        <v>179</v>
      </c>
      <c r="D28" s="15"/>
      <c r="E28" s="13" t="s">
        <v>50</v>
      </c>
      <c r="F28" s="14">
        <v>3.08</v>
      </c>
      <c r="G28" s="16"/>
      <c r="H28" s="16"/>
      <c r="I28" s="16"/>
      <c r="J28" s="14"/>
      <c r="K28" s="14"/>
      <c r="L28" s="14"/>
      <c r="M28" s="14"/>
      <c r="N28" s="14"/>
    </row>
    <row r="29" s="3" customFormat="1" ht="45" customHeight="1" spans="1:14">
      <c r="A29" s="13"/>
      <c r="B29" s="15" t="s">
        <v>180</v>
      </c>
      <c r="C29" s="15" t="s">
        <v>181</v>
      </c>
      <c r="D29" s="15"/>
      <c r="E29" s="13" t="s">
        <v>50</v>
      </c>
      <c r="F29" s="14">
        <v>5</v>
      </c>
      <c r="G29" s="16"/>
      <c r="H29" s="16"/>
      <c r="I29" s="16"/>
      <c r="J29" s="14"/>
      <c r="K29" s="14"/>
      <c r="L29" s="14"/>
      <c r="M29" s="14"/>
      <c r="N29" s="14"/>
    </row>
    <row r="30" s="3" customFormat="1" ht="45" customHeight="1" spans="1:14">
      <c r="A30" s="13"/>
      <c r="B30" s="15" t="s">
        <v>182</v>
      </c>
      <c r="C30" s="15" t="s">
        <v>183</v>
      </c>
      <c r="D30" s="15"/>
      <c r="E30" s="13" t="s">
        <v>50</v>
      </c>
      <c r="F30" s="14">
        <v>10.36</v>
      </c>
      <c r="G30" s="16"/>
      <c r="H30" s="16"/>
      <c r="I30" s="16"/>
      <c r="J30" s="14"/>
      <c r="K30" s="14"/>
      <c r="L30" s="14"/>
      <c r="M30" s="14"/>
      <c r="N30" s="14"/>
    </row>
    <row r="31" s="3" customFormat="1" ht="45" customHeight="1" spans="1:14">
      <c r="A31" s="13"/>
      <c r="B31" s="15" t="s">
        <v>184</v>
      </c>
      <c r="C31" s="15" t="s">
        <v>185</v>
      </c>
      <c r="D31" s="15"/>
      <c r="E31" s="13" t="s">
        <v>50</v>
      </c>
      <c r="F31" s="14">
        <v>18.48</v>
      </c>
      <c r="G31" s="16"/>
      <c r="H31" s="16"/>
      <c r="I31" s="16"/>
      <c r="J31" s="14"/>
      <c r="K31" s="14"/>
      <c r="L31" s="14"/>
      <c r="M31" s="14"/>
      <c r="N31" s="14"/>
    </row>
    <row r="32" s="3" customFormat="1" ht="72" customHeight="1" spans="1:14">
      <c r="A32" s="13"/>
      <c r="B32" s="15" t="s">
        <v>115</v>
      </c>
      <c r="C32" s="15" t="s">
        <v>116</v>
      </c>
      <c r="D32" s="15" t="s">
        <v>102</v>
      </c>
      <c r="E32" s="13" t="s">
        <v>118</v>
      </c>
      <c r="F32" s="14">
        <v>1</v>
      </c>
      <c r="G32" s="16"/>
      <c r="H32" s="16"/>
      <c r="I32" s="16"/>
      <c r="J32" s="14"/>
      <c r="K32" s="14"/>
      <c r="L32" s="14"/>
      <c r="M32" s="14"/>
      <c r="N32" s="14"/>
    </row>
    <row r="33" s="3" customFormat="1" ht="87" customHeight="1" spans="1:14">
      <c r="A33" s="13"/>
      <c r="B33" s="15" t="s">
        <v>186</v>
      </c>
      <c r="C33" s="15" t="s">
        <v>187</v>
      </c>
      <c r="D33" s="15" t="s">
        <v>102</v>
      </c>
      <c r="E33" s="13" t="s">
        <v>50</v>
      </c>
      <c r="F33" s="14">
        <v>47.9</v>
      </c>
      <c r="G33" s="16"/>
      <c r="H33" s="16"/>
      <c r="I33" s="16"/>
      <c r="J33" s="14"/>
      <c r="K33" s="14"/>
      <c r="L33" s="14"/>
      <c r="M33" s="14"/>
      <c r="N33" s="14"/>
    </row>
    <row r="34" s="3" customFormat="1" ht="118" customHeight="1" spans="1:14">
      <c r="A34" s="13"/>
      <c r="B34" s="15" t="s">
        <v>105</v>
      </c>
      <c r="C34" s="15" t="s">
        <v>112</v>
      </c>
      <c r="D34" s="15" t="s">
        <v>102</v>
      </c>
      <c r="E34" s="13" t="s">
        <v>50</v>
      </c>
      <c r="F34" s="14"/>
      <c r="G34" s="16"/>
      <c r="H34" s="16"/>
      <c r="I34" s="16"/>
      <c r="J34" s="14"/>
      <c r="K34" s="14"/>
      <c r="L34" s="14"/>
      <c r="M34" s="14"/>
      <c r="N34" s="14"/>
    </row>
    <row r="35" s="3" customFormat="1" ht="118" customHeight="1" spans="1:14">
      <c r="A35" s="13"/>
      <c r="B35" s="15" t="s">
        <v>107</v>
      </c>
      <c r="C35" s="15" t="s">
        <v>112</v>
      </c>
      <c r="D35" s="15" t="s">
        <v>102</v>
      </c>
      <c r="E35" s="13" t="s">
        <v>50</v>
      </c>
      <c r="F35" s="14"/>
      <c r="G35" s="16"/>
      <c r="H35" s="16"/>
      <c r="I35" s="16"/>
      <c r="J35" s="14"/>
      <c r="K35" s="14"/>
      <c r="L35" s="14"/>
      <c r="M35" s="14"/>
      <c r="N35" s="14"/>
    </row>
    <row r="36" s="3" customFormat="1" ht="118" customHeight="1" spans="1:14">
      <c r="A36" s="13"/>
      <c r="B36" s="15" t="s">
        <v>108</v>
      </c>
      <c r="C36" s="15" t="s">
        <v>112</v>
      </c>
      <c r="D36" s="15" t="s">
        <v>102</v>
      </c>
      <c r="E36" s="13" t="s">
        <v>50</v>
      </c>
      <c r="F36" s="14"/>
      <c r="G36" s="16"/>
      <c r="H36" s="16"/>
      <c r="I36" s="16"/>
      <c r="J36" s="14"/>
      <c r="K36" s="14"/>
      <c r="L36" s="14"/>
      <c r="M36" s="14"/>
      <c r="N36" s="14"/>
    </row>
    <row r="37" s="3" customFormat="1" ht="118" customHeight="1" spans="1:14">
      <c r="A37" s="13"/>
      <c r="B37" s="15" t="s">
        <v>188</v>
      </c>
      <c r="C37" s="15" t="s">
        <v>112</v>
      </c>
      <c r="D37" s="15" t="s">
        <v>102</v>
      </c>
      <c r="E37" s="13" t="s">
        <v>50</v>
      </c>
      <c r="F37" s="14"/>
      <c r="G37" s="16"/>
      <c r="H37" s="16"/>
      <c r="I37" s="16"/>
      <c r="J37" s="14"/>
      <c r="K37" s="14"/>
      <c r="L37" s="14"/>
      <c r="M37" s="14"/>
      <c r="N37" s="14"/>
    </row>
    <row r="38" s="3" customFormat="1" ht="118" customHeight="1" spans="1:14">
      <c r="A38" s="13"/>
      <c r="B38" s="15" t="s">
        <v>189</v>
      </c>
      <c r="C38" s="15" t="s">
        <v>112</v>
      </c>
      <c r="D38" s="15" t="s">
        <v>102</v>
      </c>
      <c r="E38" s="13"/>
      <c r="F38" s="14"/>
      <c r="G38" s="16"/>
      <c r="H38" s="16"/>
      <c r="I38" s="16"/>
      <c r="J38" s="14"/>
      <c r="K38" s="14"/>
      <c r="L38" s="14"/>
      <c r="M38" s="14"/>
      <c r="N38" s="14"/>
    </row>
    <row r="39" s="3" customFormat="1" ht="123" customHeight="1" spans="1:14">
      <c r="A39" s="13"/>
      <c r="B39" s="15" t="s">
        <v>110</v>
      </c>
      <c r="C39" s="15" t="s">
        <v>112</v>
      </c>
      <c r="D39" s="15" t="s">
        <v>102</v>
      </c>
      <c r="E39" s="13" t="s">
        <v>50</v>
      </c>
      <c r="F39" s="14"/>
      <c r="G39" s="16"/>
      <c r="H39" s="16"/>
      <c r="I39" s="16"/>
      <c r="J39" s="14"/>
      <c r="K39" s="14"/>
      <c r="L39" s="14"/>
      <c r="M39" s="14"/>
      <c r="N39" s="14"/>
    </row>
    <row r="40" s="3" customFormat="1" ht="123" customHeight="1" spans="1:14">
      <c r="A40" s="13"/>
      <c r="B40" s="15" t="s">
        <v>190</v>
      </c>
      <c r="C40" s="15" t="s">
        <v>112</v>
      </c>
      <c r="D40" s="15" t="s">
        <v>102</v>
      </c>
      <c r="E40" s="13" t="s">
        <v>50</v>
      </c>
      <c r="F40" s="14"/>
      <c r="G40" s="16"/>
      <c r="H40" s="16"/>
      <c r="I40" s="16"/>
      <c r="J40" s="14"/>
      <c r="K40" s="14"/>
      <c r="L40" s="14"/>
      <c r="M40" s="14"/>
      <c r="N40" s="14"/>
    </row>
    <row r="41" s="3" customFormat="1" ht="123" customHeight="1" spans="1:14">
      <c r="A41" s="13"/>
      <c r="B41" s="15" t="s">
        <v>191</v>
      </c>
      <c r="C41" s="15" t="s">
        <v>112</v>
      </c>
      <c r="D41" s="15" t="s">
        <v>102</v>
      </c>
      <c r="E41" s="13" t="s">
        <v>50</v>
      </c>
      <c r="F41" s="14"/>
      <c r="G41" s="16"/>
      <c r="H41" s="16"/>
      <c r="I41" s="16"/>
      <c r="J41" s="14"/>
      <c r="K41" s="14"/>
      <c r="L41" s="14"/>
      <c r="M41" s="14"/>
      <c r="N41" s="14"/>
    </row>
    <row r="42" s="3" customFormat="1" ht="25" customHeight="1" spans="1:14">
      <c r="A42" s="13"/>
      <c r="B42" s="15"/>
      <c r="C42" s="15"/>
      <c r="D42" s="15"/>
      <c r="E42" s="13"/>
      <c r="F42" s="14"/>
      <c r="G42" s="16"/>
      <c r="H42" s="16"/>
      <c r="I42" s="16"/>
      <c r="J42" s="14"/>
      <c r="K42" s="14"/>
      <c r="L42" s="14"/>
      <c r="M42" s="14"/>
      <c r="N42" s="14"/>
    </row>
    <row r="43" s="3" customFormat="1" ht="25" customHeight="1" spans="1:15">
      <c r="A43" s="13"/>
      <c r="B43" s="15" t="s">
        <v>192</v>
      </c>
      <c r="C43" s="15" t="s">
        <v>193</v>
      </c>
      <c r="D43" s="15"/>
      <c r="E43" s="13" t="s">
        <v>118</v>
      </c>
      <c r="F43" s="14">
        <v>1</v>
      </c>
      <c r="G43" s="16"/>
      <c r="H43" s="16"/>
      <c r="I43" s="16"/>
      <c r="J43" s="14"/>
      <c r="K43" s="14">
        <f>F43*J43</f>
        <v>0</v>
      </c>
      <c r="L43" s="14"/>
      <c r="M43" s="18">
        <f>3.925*3.2*F43</f>
        <v>12.56</v>
      </c>
      <c r="N43" s="18" t="s">
        <v>194</v>
      </c>
      <c r="O43" s="3">
        <f>3.9*3.2</f>
        <v>12.48</v>
      </c>
    </row>
    <row r="44" s="3" customFormat="1" ht="25" customHeight="1" spans="1:15">
      <c r="A44" s="13"/>
      <c r="B44" s="15" t="s">
        <v>192</v>
      </c>
      <c r="C44" s="15" t="s">
        <v>195</v>
      </c>
      <c r="D44" s="15"/>
      <c r="E44" s="13" t="s">
        <v>118</v>
      </c>
      <c r="F44" s="14">
        <v>1</v>
      </c>
      <c r="G44" s="16"/>
      <c r="H44" s="16"/>
      <c r="I44" s="16"/>
      <c r="J44" s="14"/>
      <c r="K44" s="14">
        <f t="shared" ref="K44:K66" si="0">F44*J44</f>
        <v>0</v>
      </c>
      <c r="L44" s="14"/>
      <c r="M44" s="19">
        <f>4.7*3.2*F44</f>
        <v>15.04</v>
      </c>
      <c r="N44" s="14" t="s">
        <v>196</v>
      </c>
      <c r="O44" s="3">
        <f>4.7*3.2</f>
        <v>15.04</v>
      </c>
    </row>
    <row r="45" s="3" customFormat="1" ht="25" customHeight="1" spans="1:16">
      <c r="A45" s="13"/>
      <c r="B45" s="15" t="s">
        <v>192</v>
      </c>
      <c r="C45" s="15" t="s">
        <v>197</v>
      </c>
      <c r="D45" s="15"/>
      <c r="E45" s="13" t="s">
        <v>118</v>
      </c>
      <c r="F45" s="14">
        <v>2</v>
      </c>
      <c r="G45" s="16"/>
      <c r="H45" s="16"/>
      <c r="I45" s="16"/>
      <c r="J45" s="14"/>
      <c r="K45" s="14">
        <f t="shared" si="0"/>
        <v>0</v>
      </c>
      <c r="L45" s="14"/>
      <c r="M45" s="19">
        <f>5.52*3.2*F45</f>
        <v>35.328</v>
      </c>
      <c r="N45" s="14" t="s">
        <v>196</v>
      </c>
      <c r="O45" s="3">
        <f>5.2*3.2</f>
        <v>16.64</v>
      </c>
      <c r="P45" s="3">
        <f t="shared" ref="P45:P66" si="1">J45/O45</f>
        <v>0</v>
      </c>
    </row>
    <row r="46" s="3" customFormat="1" ht="25" customHeight="1" spans="1:16">
      <c r="A46" s="13"/>
      <c r="B46" s="15" t="s">
        <v>192</v>
      </c>
      <c r="C46" s="15" t="s">
        <v>198</v>
      </c>
      <c r="D46" s="15"/>
      <c r="E46" s="13" t="s">
        <v>118</v>
      </c>
      <c r="F46" s="14">
        <v>2</v>
      </c>
      <c r="G46" s="16"/>
      <c r="H46" s="16"/>
      <c r="I46" s="16"/>
      <c r="J46" s="14"/>
      <c r="K46" s="14">
        <f t="shared" si="0"/>
        <v>0</v>
      </c>
      <c r="L46" s="14"/>
      <c r="M46" s="19">
        <f>5.52*3.2*F46</f>
        <v>35.328</v>
      </c>
      <c r="N46" s="14" t="s">
        <v>196</v>
      </c>
      <c r="O46" s="3">
        <f>5.5*3.2</f>
        <v>17.6</v>
      </c>
      <c r="P46" s="3">
        <f t="shared" si="1"/>
        <v>0</v>
      </c>
    </row>
    <row r="47" s="3" customFormat="1" ht="25" customHeight="1" spans="1:16">
      <c r="A47" s="13"/>
      <c r="B47" s="15" t="s">
        <v>192</v>
      </c>
      <c r="C47" s="15" t="s">
        <v>199</v>
      </c>
      <c r="D47" s="15"/>
      <c r="E47" s="13" t="s">
        <v>118</v>
      </c>
      <c r="F47" s="14">
        <v>1</v>
      </c>
      <c r="G47" s="16"/>
      <c r="H47" s="16"/>
      <c r="I47" s="16"/>
      <c r="J47" s="14"/>
      <c r="K47" s="14">
        <f t="shared" si="0"/>
        <v>0</v>
      </c>
      <c r="L47" s="14"/>
      <c r="M47" s="18">
        <f>4.2*2.1</f>
        <v>8.82</v>
      </c>
      <c r="N47" s="18" t="s">
        <v>194</v>
      </c>
      <c r="O47" s="3">
        <f>4.2*2.1</f>
        <v>8.82</v>
      </c>
      <c r="P47" s="3">
        <f t="shared" si="1"/>
        <v>0</v>
      </c>
    </row>
    <row r="48" s="3" customFormat="1" ht="25" customHeight="1" spans="1:16">
      <c r="A48" s="13"/>
      <c r="B48" s="15" t="s">
        <v>192</v>
      </c>
      <c r="C48" s="15" t="s">
        <v>200</v>
      </c>
      <c r="D48" s="15"/>
      <c r="E48" s="13" t="s">
        <v>118</v>
      </c>
      <c r="F48" s="14">
        <v>1</v>
      </c>
      <c r="G48" s="16"/>
      <c r="H48" s="16"/>
      <c r="I48" s="16"/>
      <c r="J48" s="14"/>
      <c r="K48" s="14">
        <f t="shared" si="0"/>
        <v>0</v>
      </c>
      <c r="L48" s="14"/>
      <c r="M48" s="18">
        <f>4.7*2.1</f>
        <v>9.87</v>
      </c>
      <c r="N48" s="18" t="s">
        <v>194</v>
      </c>
      <c r="O48" s="3">
        <f>4.7*2.1</f>
        <v>9.87</v>
      </c>
      <c r="P48" s="3">
        <f t="shared" si="1"/>
        <v>0</v>
      </c>
    </row>
    <row r="49" s="3" customFormat="1" ht="25" customHeight="1" spans="1:16">
      <c r="A49" s="13"/>
      <c r="B49" s="15" t="s">
        <v>192</v>
      </c>
      <c r="C49" s="15" t="s">
        <v>201</v>
      </c>
      <c r="D49" s="15"/>
      <c r="E49" s="13" t="s">
        <v>118</v>
      </c>
      <c r="F49" s="14">
        <v>1</v>
      </c>
      <c r="G49" s="16"/>
      <c r="H49" s="16"/>
      <c r="I49" s="16"/>
      <c r="J49" s="14"/>
      <c r="K49" s="14">
        <f t="shared" si="0"/>
        <v>0</v>
      </c>
      <c r="L49" s="14"/>
      <c r="M49" s="20">
        <f>5.21*2.1</f>
        <v>10.941</v>
      </c>
      <c r="N49" s="20" t="s">
        <v>202</v>
      </c>
      <c r="O49" s="3">
        <f>5.21*2.1</f>
        <v>10.941</v>
      </c>
      <c r="P49" s="3">
        <f t="shared" si="1"/>
        <v>0</v>
      </c>
    </row>
    <row r="50" s="3" customFormat="1" ht="25" customHeight="1" spans="1:16">
      <c r="A50" s="13"/>
      <c r="B50" s="15" t="s">
        <v>192</v>
      </c>
      <c r="C50" s="15" t="s">
        <v>203</v>
      </c>
      <c r="D50" s="15"/>
      <c r="E50" s="13" t="s">
        <v>118</v>
      </c>
      <c r="F50" s="14">
        <v>1</v>
      </c>
      <c r="G50" s="16"/>
      <c r="H50" s="16"/>
      <c r="I50" s="16"/>
      <c r="J50" s="14"/>
      <c r="K50" s="14">
        <f t="shared" si="0"/>
        <v>0</v>
      </c>
      <c r="L50" s="14"/>
      <c r="M50" s="20">
        <f>5.52*2.1</f>
        <v>11.592</v>
      </c>
      <c r="N50" s="20" t="s">
        <v>202</v>
      </c>
      <c r="O50" s="3">
        <f>5.52*2.1</f>
        <v>11.592</v>
      </c>
      <c r="P50" s="3">
        <f t="shared" si="1"/>
        <v>0</v>
      </c>
    </row>
    <row r="51" s="3" customFormat="1" ht="25" customHeight="1" spans="1:16">
      <c r="A51" s="13"/>
      <c r="B51" s="15" t="s">
        <v>192</v>
      </c>
      <c r="C51" s="15" t="s">
        <v>204</v>
      </c>
      <c r="D51" s="15"/>
      <c r="E51" s="13" t="s">
        <v>118</v>
      </c>
      <c r="F51" s="14">
        <v>1</v>
      </c>
      <c r="G51" s="16"/>
      <c r="H51" s="16"/>
      <c r="I51" s="16"/>
      <c r="J51" s="14"/>
      <c r="K51" s="14">
        <f t="shared" si="0"/>
        <v>0</v>
      </c>
      <c r="L51" s="14"/>
      <c r="M51" s="18">
        <f>2.2*4.9</f>
        <v>10.78</v>
      </c>
      <c r="N51" s="18" t="s">
        <v>194</v>
      </c>
      <c r="O51" s="3">
        <f>2.2*4.9</f>
        <v>10.78</v>
      </c>
      <c r="P51" s="3">
        <f t="shared" si="1"/>
        <v>0</v>
      </c>
    </row>
    <row r="52" s="3" customFormat="1" ht="25" customHeight="1" spans="1:16">
      <c r="A52" s="13"/>
      <c r="B52" s="15" t="s">
        <v>192</v>
      </c>
      <c r="C52" s="15" t="s">
        <v>205</v>
      </c>
      <c r="D52" s="15"/>
      <c r="E52" s="13" t="s">
        <v>118</v>
      </c>
      <c r="F52" s="14">
        <v>1</v>
      </c>
      <c r="G52" s="16"/>
      <c r="H52" s="16"/>
      <c r="I52" s="16"/>
      <c r="J52" s="14"/>
      <c r="K52" s="14">
        <f t="shared" si="0"/>
        <v>0</v>
      </c>
      <c r="L52" s="14"/>
      <c r="M52" s="20">
        <f>4.2*3.8</f>
        <v>15.96</v>
      </c>
      <c r="N52" s="20" t="s">
        <v>206</v>
      </c>
      <c r="O52" s="3">
        <f>4.2*3.8</f>
        <v>15.96</v>
      </c>
      <c r="P52" s="3">
        <f t="shared" si="1"/>
        <v>0</v>
      </c>
    </row>
    <row r="53" s="3" customFormat="1" ht="25" customHeight="1" spans="1:16">
      <c r="A53" s="13"/>
      <c r="B53" s="15" t="s">
        <v>192</v>
      </c>
      <c r="C53" s="15" t="s">
        <v>207</v>
      </c>
      <c r="D53" s="15"/>
      <c r="E53" s="13" t="s">
        <v>118</v>
      </c>
      <c r="F53" s="14">
        <v>1</v>
      </c>
      <c r="G53" s="16"/>
      <c r="H53" s="16"/>
      <c r="I53" s="16"/>
      <c r="J53" s="14"/>
      <c r="K53" s="14">
        <f t="shared" si="0"/>
        <v>0</v>
      </c>
      <c r="L53" s="14"/>
      <c r="M53" s="19">
        <f>4.7*3.8</f>
        <v>17.86</v>
      </c>
      <c r="N53" s="14" t="s">
        <v>196</v>
      </c>
      <c r="O53" s="3">
        <f>4.7*3.8</f>
        <v>17.86</v>
      </c>
      <c r="P53" s="3">
        <f t="shared" si="1"/>
        <v>0</v>
      </c>
    </row>
    <row r="54" s="3" customFormat="1" ht="25" customHeight="1" spans="1:16">
      <c r="A54" s="13"/>
      <c r="B54" s="15" t="s">
        <v>192</v>
      </c>
      <c r="C54" s="15" t="s">
        <v>208</v>
      </c>
      <c r="D54" s="15"/>
      <c r="E54" s="13" t="s">
        <v>118</v>
      </c>
      <c r="F54" s="14">
        <v>1</v>
      </c>
      <c r="G54" s="16"/>
      <c r="H54" s="16"/>
      <c r="I54" s="16"/>
      <c r="J54" s="14"/>
      <c r="K54" s="14">
        <f t="shared" si="0"/>
        <v>0</v>
      </c>
      <c r="L54" s="14"/>
      <c r="M54" s="20">
        <f>5.52*2.1</f>
        <v>11.592</v>
      </c>
      <c r="N54" s="20" t="s">
        <v>202</v>
      </c>
      <c r="O54" s="3">
        <f>5.21*3.8</f>
        <v>19.798</v>
      </c>
      <c r="P54" s="3">
        <f t="shared" si="1"/>
        <v>0</v>
      </c>
    </row>
    <row r="55" s="3" customFormat="1" ht="25" customHeight="1" spans="1:16">
      <c r="A55" s="13"/>
      <c r="B55" s="15" t="s">
        <v>192</v>
      </c>
      <c r="C55" s="15" t="s">
        <v>209</v>
      </c>
      <c r="D55" s="15"/>
      <c r="E55" s="13" t="s">
        <v>118</v>
      </c>
      <c r="F55" s="14">
        <v>1</v>
      </c>
      <c r="G55" s="16"/>
      <c r="H55" s="16"/>
      <c r="I55" s="16"/>
      <c r="J55" s="14"/>
      <c r="K55" s="14">
        <f t="shared" si="0"/>
        <v>0</v>
      </c>
      <c r="L55" s="14"/>
      <c r="M55" s="20">
        <f>5.52*3.8</f>
        <v>20.976</v>
      </c>
      <c r="N55" s="20" t="s">
        <v>210</v>
      </c>
      <c r="O55" s="3">
        <f>5.5*3.8</f>
        <v>20.9</v>
      </c>
      <c r="P55" s="3">
        <f t="shared" si="1"/>
        <v>0</v>
      </c>
    </row>
    <row r="56" s="3" customFormat="1" ht="25" customHeight="1" spans="1:16">
      <c r="A56" s="13"/>
      <c r="B56" s="15" t="s">
        <v>192</v>
      </c>
      <c r="C56" s="15" t="s">
        <v>211</v>
      </c>
      <c r="D56" s="15"/>
      <c r="E56" s="13" t="s">
        <v>118</v>
      </c>
      <c r="F56" s="14">
        <v>1</v>
      </c>
      <c r="G56" s="16"/>
      <c r="H56" s="16"/>
      <c r="I56" s="16"/>
      <c r="J56" s="14"/>
      <c r="K56" s="14">
        <f t="shared" si="0"/>
        <v>0</v>
      </c>
      <c r="L56" s="14"/>
      <c r="M56" s="18">
        <f>5.2*4.9</f>
        <v>25.48</v>
      </c>
      <c r="N56" s="18" t="s">
        <v>194</v>
      </c>
      <c r="O56" s="3">
        <f>5.2*4.9</f>
        <v>25.48</v>
      </c>
      <c r="P56" s="3">
        <f t="shared" si="1"/>
        <v>0</v>
      </c>
    </row>
    <row r="57" s="3" customFormat="1" ht="25" customHeight="1" spans="1:16">
      <c r="A57" s="13"/>
      <c r="B57" s="15" t="s">
        <v>192</v>
      </c>
      <c r="C57" s="15" t="s">
        <v>212</v>
      </c>
      <c r="D57" s="15"/>
      <c r="E57" s="13" t="s">
        <v>118</v>
      </c>
      <c r="F57" s="14">
        <v>1</v>
      </c>
      <c r="G57" s="16"/>
      <c r="H57" s="16"/>
      <c r="I57" s="16"/>
      <c r="J57" s="14"/>
      <c r="K57" s="14">
        <f t="shared" si="0"/>
        <v>0</v>
      </c>
      <c r="L57" s="14"/>
      <c r="M57" s="18">
        <f>2.2*2.6</f>
        <v>5.72</v>
      </c>
      <c r="N57" s="18" t="s">
        <v>194</v>
      </c>
      <c r="O57" s="3">
        <f>2.2*2.6</f>
        <v>5.72</v>
      </c>
      <c r="P57" s="3">
        <f t="shared" si="1"/>
        <v>0</v>
      </c>
    </row>
    <row r="58" s="3" customFormat="1" ht="25" customHeight="1" spans="1:16">
      <c r="A58" s="13"/>
      <c r="B58" s="15" t="s">
        <v>192</v>
      </c>
      <c r="C58" s="15" t="s">
        <v>213</v>
      </c>
      <c r="D58" s="15"/>
      <c r="E58" s="13" t="s">
        <v>118</v>
      </c>
      <c r="F58" s="14">
        <v>1</v>
      </c>
      <c r="G58" s="16"/>
      <c r="H58" s="16"/>
      <c r="I58" s="16"/>
      <c r="J58" s="14"/>
      <c r="K58" s="14">
        <f t="shared" si="0"/>
        <v>0</v>
      </c>
      <c r="L58" s="14"/>
      <c r="M58" s="19">
        <f>4.7*2.6</f>
        <v>12.22</v>
      </c>
      <c r="N58" s="14" t="s">
        <v>196</v>
      </c>
      <c r="O58" s="3">
        <f>4.7*2.6</f>
        <v>12.22</v>
      </c>
      <c r="P58" s="3">
        <f t="shared" si="1"/>
        <v>0</v>
      </c>
    </row>
    <row r="59" s="3" customFormat="1" ht="25" customHeight="1" spans="1:16">
      <c r="A59" s="13"/>
      <c r="B59" s="15" t="s">
        <v>192</v>
      </c>
      <c r="C59" s="15" t="s">
        <v>214</v>
      </c>
      <c r="D59" s="15"/>
      <c r="E59" s="13" t="s">
        <v>118</v>
      </c>
      <c r="F59" s="14">
        <v>1</v>
      </c>
      <c r="G59" s="16"/>
      <c r="H59" s="16"/>
      <c r="I59" s="16"/>
      <c r="J59" s="14"/>
      <c r="K59" s="14">
        <f t="shared" si="0"/>
        <v>0</v>
      </c>
      <c r="L59" s="14"/>
      <c r="M59" s="18">
        <f>5.2*2.6</f>
        <v>13.52</v>
      </c>
      <c r="N59" s="18" t="s">
        <v>194</v>
      </c>
      <c r="O59" s="3">
        <f>5.2*2.6</f>
        <v>13.52</v>
      </c>
      <c r="P59" s="3">
        <f t="shared" si="1"/>
        <v>0</v>
      </c>
    </row>
    <row r="60" s="3" customFormat="1" ht="25" customHeight="1" spans="1:16">
      <c r="A60" s="13"/>
      <c r="B60" s="15" t="s">
        <v>192</v>
      </c>
      <c r="C60" s="15" t="s">
        <v>215</v>
      </c>
      <c r="D60" s="15"/>
      <c r="E60" s="13" t="s">
        <v>118</v>
      </c>
      <c r="F60" s="14">
        <v>1</v>
      </c>
      <c r="G60" s="16"/>
      <c r="H60" s="16"/>
      <c r="I60" s="16"/>
      <c r="J60" s="14"/>
      <c r="K60" s="14">
        <f t="shared" si="0"/>
        <v>0</v>
      </c>
      <c r="L60" s="14"/>
      <c r="M60" s="20">
        <f>1.8*2</f>
        <v>3.6</v>
      </c>
      <c r="N60" s="20" t="s">
        <v>216</v>
      </c>
      <c r="O60" s="3">
        <f>1.8*2</f>
        <v>3.6</v>
      </c>
      <c r="P60" s="3">
        <f t="shared" si="1"/>
        <v>0</v>
      </c>
    </row>
    <row r="61" s="3" customFormat="1" ht="29" customHeight="1" spans="1:16">
      <c r="A61" s="13"/>
      <c r="B61" s="15" t="s">
        <v>192</v>
      </c>
      <c r="C61" s="15" t="s">
        <v>217</v>
      </c>
      <c r="D61" s="15"/>
      <c r="E61" s="13" t="s">
        <v>118</v>
      </c>
      <c r="F61" s="14">
        <v>1</v>
      </c>
      <c r="G61" s="16"/>
      <c r="H61" s="16"/>
      <c r="I61" s="16"/>
      <c r="J61" s="14"/>
      <c r="K61" s="14">
        <f t="shared" si="0"/>
        <v>0</v>
      </c>
      <c r="L61" s="14"/>
      <c r="M61" s="18">
        <f>2.2*3.9</f>
        <v>8.58</v>
      </c>
      <c r="N61" s="18" t="s">
        <v>194</v>
      </c>
      <c r="O61" s="3">
        <f>2.2*3.9</f>
        <v>8.58</v>
      </c>
      <c r="P61" s="3">
        <f t="shared" si="1"/>
        <v>0</v>
      </c>
    </row>
    <row r="62" s="3" customFormat="1" ht="25" customHeight="1" spans="1:16">
      <c r="A62" s="13"/>
      <c r="B62" s="15" t="s">
        <v>192</v>
      </c>
      <c r="C62" s="15" t="s">
        <v>218</v>
      </c>
      <c r="D62" s="15"/>
      <c r="E62" s="13" t="s">
        <v>118</v>
      </c>
      <c r="F62" s="14">
        <v>1</v>
      </c>
      <c r="G62" s="16"/>
      <c r="H62" s="16"/>
      <c r="I62" s="16"/>
      <c r="J62" s="14"/>
      <c r="K62" s="14">
        <f t="shared" si="0"/>
        <v>0</v>
      </c>
      <c r="L62" s="14"/>
      <c r="M62" s="18">
        <f>5.2*3.9</f>
        <v>20.28</v>
      </c>
      <c r="N62" s="18" t="s">
        <v>194</v>
      </c>
      <c r="O62" s="3">
        <f>5.2*3.9</f>
        <v>20.28</v>
      </c>
      <c r="P62" s="3">
        <f t="shared" si="1"/>
        <v>0</v>
      </c>
    </row>
    <row r="63" s="3" customFormat="1" ht="36" customHeight="1" spans="1:16">
      <c r="A63" s="13"/>
      <c r="B63" s="15" t="s">
        <v>192</v>
      </c>
      <c r="C63" s="15" t="s">
        <v>219</v>
      </c>
      <c r="D63" s="15"/>
      <c r="E63" s="13" t="s">
        <v>118</v>
      </c>
      <c r="F63" s="14">
        <v>1</v>
      </c>
      <c r="G63" s="16"/>
      <c r="H63" s="16"/>
      <c r="I63" s="16"/>
      <c r="J63" s="14"/>
      <c r="K63" s="14">
        <f t="shared" si="0"/>
        <v>0</v>
      </c>
      <c r="L63" s="14"/>
      <c r="M63" s="19">
        <f>5.52*3.3</f>
        <v>18.216</v>
      </c>
      <c r="N63" s="14" t="s">
        <v>196</v>
      </c>
      <c r="O63" s="3">
        <f>5.5*3.3</f>
        <v>18.15</v>
      </c>
      <c r="P63" s="3">
        <f t="shared" si="1"/>
        <v>0</v>
      </c>
    </row>
    <row r="64" s="3" customFormat="1" ht="25" customHeight="1" spans="1:16">
      <c r="A64" s="13"/>
      <c r="B64" s="15" t="s">
        <v>192</v>
      </c>
      <c r="C64" s="15" t="s">
        <v>220</v>
      </c>
      <c r="D64" s="15"/>
      <c r="E64" s="13" t="s">
        <v>118</v>
      </c>
      <c r="F64" s="14">
        <v>1</v>
      </c>
      <c r="G64" s="16"/>
      <c r="H64" s="16"/>
      <c r="I64" s="16"/>
      <c r="J64" s="14"/>
      <c r="K64" s="14">
        <f t="shared" si="0"/>
        <v>0</v>
      </c>
      <c r="L64" s="14"/>
      <c r="M64" s="20">
        <f>4.7*3.3</f>
        <v>15.51</v>
      </c>
      <c r="N64" s="14" t="s">
        <v>221</v>
      </c>
      <c r="O64" s="3">
        <f>4.7*3.3</f>
        <v>15.51</v>
      </c>
      <c r="P64" s="3">
        <f t="shared" si="1"/>
        <v>0</v>
      </c>
    </row>
    <row r="65" s="3" customFormat="1" ht="15" customHeight="1" spans="1:16">
      <c r="A65" s="13"/>
      <c r="B65" s="15" t="s">
        <v>192</v>
      </c>
      <c r="C65" s="15" t="s">
        <v>222</v>
      </c>
      <c r="D65" s="15"/>
      <c r="E65" s="13" t="s">
        <v>118</v>
      </c>
      <c r="F65" s="14">
        <v>1</v>
      </c>
      <c r="G65" s="16"/>
      <c r="H65" s="16"/>
      <c r="I65" s="16"/>
      <c r="J65" s="14"/>
      <c r="K65" s="14">
        <f t="shared" si="0"/>
        <v>0</v>
      </c>
      <c r="L65" s="14"/>
      <c r="M65" s="20">
        <f>5.21*3.3</f>
        <v>17.193</v>
      </c>
      <c r="N65" s="14" t="s">
        <v>221</v>
      </c>
      <c r="O65" s="3">
        <f>5.2*3.3</f>
        <v>17.16</v>
      </c>
      <c r="P65" s="3">
        <f t="shared" si="1"/>
        <v>0</v>
      </c>
    </row>
    <row r="66" s="3" customFormat="1" ht="25" customHeight="1" spans="1:16">
      <c r="A66" s="13"/>
      <c r="B66" s="15" t="s">
        <v>192</v>
      </c>
      <c r="C66" s="15" t="s">
        <v>223</v>
      </c>
      <c r="D66" s="15"/>
      <c r="E66" s="13" t="s">
        <v>118</v>
      </c>
      <c r="F66" s="14">
        <v>2</v>
      </c>
      <c r="G66" s="16"/>
      <c r="H66" s="16"/>
      <c r="I66" s="16"/>
      <c r="J66" s="14"/>
      <c r="K66" s="14">
        <f t="shared" si="0"/>
        <v>0</v>
      </c>
      <c r="L66" s="14"/>
      <c r="M66" s="20">
        <f>2*2*1.4</f>
        <v>5.6</v>
      </c>
      <c r="N66" s="20" t="s">
        <v>224</v>
      </c>
      <c r="O66" s="3">
        <f>2*1.4</f>
        <v>2.8</v>
      </c>
      <c r="P66" s="3">
        <f t="shared" si="1"/>
        <v>0</v>
      </c>
    </row>
    <row r="67" s="3" customFormat="1" ht="36" customHeight="1" spans="1:11">
      <c r="A67" s="13">
        <v>12</v>
      </c>
      <c r="B67" s="13" t="s">
        <v>225</v>
      </c>
      <c r="C67" s="15"/>
      <c r="D67" s="15"/>
      <c r="E67" s="13"/>
      <c r="F67" s="14"/>
      <c r="G67" s="13"/>
      <c r="H67" s="13"/>
      <c r="I67" s="13"/>
      <c r="J67" s="25"/>
      <c r="K67" s="25"/>
    </row>
    <row r="68" s="3" customFormat="1" ht="36" customHeight="1" spans="1:11">
      <c r="A68" s="13">
        <v>13</v>
      </c>
      <c r="B68" s="21" t="s">
        <v>226</v>
      </c>
      <c r="C68" s="22"/>
      <c r="D68" s="22"/>
      <c r="E68" s="21"/>
      <c r="F68" s="23"/>
      <c r="G68" s="21"/>
      <c r="H68" s="21"/>
      <c r="I68" s="21"/>
      <c r="J68" s="25"/>
      <c r="K68" s="25"/>
    </row>
    <row r="69" s="3" customFormat="1" ht="36" customHeight="1" spans="1:11">
      <c r="A69" s="13">
        <v>14</v>
      </c>
      <c r="B69" s="21" t="s">
        <v>227</v>
      </c>
      <c r="C69" s="22"/>
      <c r="D69" s="22"/>
      <c r="E69" s="21"/>
      <c r="F69" s="23"/>
      <c r="G69" s="21"/>
      <c r="H69" s="21"/>
      <c r="I69" s="21"/>
      <c r="J69" s="25"/>
      <c r="K69" s="25"/>
    </row>
    <row r="70" ht="15" customHeight="1" spans="1:14">
      <c r="A70" s="24" t="s">
        <v>228</v>
      </c>
      <c r="B70" s="24"/>
      <c r="C70" s="24"/>
      <c r="D70" s="24"/>
      <c r="E70" s="24"/>
      <c r="F70" s="24"/>
      <c r="G70" s="24"/>
      <c r="H70" s="24"/>
      <c r="I70" s="24"/>
      <c r="J70" s="24"/>
      <c r="K70" s="24"/>
      <c r="L70" s="24"/>
      <c r="M70" s="24"/>
      <c r="N70" s="24"/>
    </row>
    <row r="71" ht="15" customHeight="1"/>
    <row r="76" spans="10:13">
      <c r="J76" s="6" t="s">
        <v>202</v>
      </c>
      <c r="K76" s="6">
        <f>K49+K50+K54</f>
        <v>0</v>
      </c>
      <c r="L76" s="7">
        <f>O49+O50+O54</f>
        <v>42.331</v>
      </c>
      <c r="M76" s="7">
        <f t="shared" ref="M76:M83" si="2">K76/L76</f>
        <v>0</v>
      </c>
    </row>
    <row r="77" spans="10:13">
      <c r="J77" s="6" t="s">
        <v>224</v>
      </c>
      <c r="K77" s="6">
        <f>K66</f>
        <v>0</v>
      </c>
      <c r="L77" s="7">
        <f>M66</f>
        <v>5.6</v>
      </c>
      <c r="M77" s="7">
        <f t="shared" si="2"/>
        <v>0</v>
      </c>
    </row>
    <row r="78" spans="10:13">
      <c r="J78" s="6" t="s">
        <v>216</v>
      </c>
      <c r="K78" s="6">
        <f>K60</f>
        <v>0</v>
      </c>
      <c r="L78" s="7">
        <f>M60</f>
        <v>3.6</v>
      </c>
      <c r="M78" s="7">
        <f t="shared" si="2"/>
        <v>0</v>
      </c>
    </row>
    <row r="79" spans="10:13">
      <c r="J79" s="6" t="s">
        <v>229</v>
      </c>
      <c r="K79" s="6">
        <f>K52</f>
        <v>0</v>
      </c>
      <c r="L79" s="7">
        <f>M52</f>
        <v>15.96</v>
      </c>
      <c r="M79" s="7">
        <f t="shared" si="2"/>
        <v>0</v>
      </c>
    </row>
    <row r="80" spans="10:13">
      <c r="J80" s="6" t="s">
        <v>194</v>
      </c>
      <c r="K80" s="6">
        <f>K43+K47+K48+K51+K56+K57+K59+K61+K62</f>
        <v>0</v>
      </c>
      <c r="L80" s="7">
        <f>M43+M47+M48+M51+M56+M57+M59+M61+M62</f>
        <v>115.61</v>
      </c>
      <c r="M80" s="7">
        <f t="shared" si="2"/>
        <v>0</v>
      </c>
    </row>
    <row r="81" spans="10:13">
      <c r="J81" s="6" t="s">
        <v>210</v>
      </c>
      <c r="K81" s="6">
        <f>K55</f>
        <v>0</v>
      </c>
      <c r="L81" s="7">
        <f>M55</f>
        <v>20.976</v>
      </c>
      <c r="M81" s="7">
        <f t="shared" si="2"/>
        <v>0</v>
      </c>
    </row>
    <row r="82" spans="10:13">
      <c r="J82" s="6" t="s">
        <v>196</v>
      </c>
      <c r="K82" s="6">
        <f>K44+K45+K46+K53+K58+K63</f>
        <v>0</v>
      </c>
      <c r="L82" s="7">
        <f>M44+M45+M46+M53*0+M58+M63</f>
        <v>116.132</v>
      </c>
      <c r="M82" s="7">
        <f t="shared" si="2"/>
        <v>0</v>
      </c>
    </row>
    <row r="83" ht="24" spans="10:13">
      <c r="J83" s="14" t="s">
        <v>221</v>
      </c>
      <c r="K83" s="6">
        <f>K64+K65</f>
        <v>0</v>
      </c>
      <c r="L83" s="7">
        <f>M64+M65</f>
        <v>32.703</v>
      </c>
      <c r="M83" s="7">
        <f t="shared" si="2"/>
        <v>0</v>
      </c>
    </row>
  </sheetData>
  <mergeCells count="7">
    <mergeCell ref="A1:L1"/>
    <mergeCell ref="A2:E2"/>
    <mergeCell ref="F2:J2"/>
    <mergeCell ref="B67:I67"/>
    <mergeCell ref="B68:I68"/>
    <mergeCell ref="B69:I69"/>
    <mergeCell ref="A70:L70"/>
  </mergeCells>
  <printOptions horizontalCentered="1"/>
  <pageMargins left="0.19975" right="0.19975" top="0.59375" bottom="0" header="0.59375" footer="0"/>
  <pageSetup paperSize="9" scale="50" orientation="portrait"/>
  <headerFooter/>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汇总表</vt:lpstr>
      <vt:lpstr>3号水池-栏杆及五金工程</vt:lpstr>
      <vt:lpstr>3号水池-铝合金门窗工程</vt:lpstr>
      <vt:lpstr>3号水池-厂区大门工程</vt:lpstr>
      <vt:lpstr>B02-05（包工包料）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CBZX012</dc:creator>
  <cp:lastModifiedBy>招采中心2</cp:lastModifiedBy>
  <dcterms:created xsi:type="dcterms:W3CDTF">2025-06-05T01:19:00Z</dcterms:created>
  <dcterms:modified xsi:type="dcterms:W3CDTF">2025-08-26T10:07:20Z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A623EDA9478444F5BCDB114965A6A70E_13</vt:lpwstr>
  </property>
  <property fmtid="{D5CDD505-2E9C-101B-9397-08002B2CF9AE}" pid="3" name="KSOProductBuildVer">
    <vt:lpwstr>2052-12.1.0.22529</vt:lpwstr>
  </property>
</Properties>
</file>