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8" activeTab="2"/>
  </bookViews>
  <sheets>
    <sheet name="汇总" sheetId="14" r:id="rId1"/>
    <sheet name="污水厂" sheetId="12" r:id="rId2"/>
    <sheet name="供水厂" sheetId="13" r:id="rId3"/>
  </sheets>
  <definedNames>
    <definedName name="_xlnm.Print_Titles" localSheetId="1">污水厂!$1:$3</definedName>
    <definedName name="_xlnm.Print_Area" localSheetId="1">污水厂!$A$1:$S$94</definedName>
    <definedName name="_xlnm.Print_Area" localSheetId="2">供水厂!$A$1:$Q$66</definedName>
    <definedName name="_xlnm.Print_Titles" localSheetId="2">供水厂!$1:$3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36" authorId="0">
      <text>
        <r>
          <rPr>
            <b/>
            <sz val="9"/>
            <rFont val="宋体"/>
            <charset val="134"/>
          </rPr>
          <t>Administrator:</t>
        </r>
        <r>
          <rPr>
            <sz val="9"/>
            <rFont val="宋体"/>
            <charset val="134"/>
          </rPr>
          <t xml:space="preserve">
雨棚</t>
        </r>
      </text>
    </comment>
    <comment ref="G59" authorId="0">
      <text>
        <r>
          <rPr>
            <b/>
            <sz val="9"/>
            <rFont val="宋体"/>
            <charset val="134"/>
          </rPr>
          <t>Administrator:</t>
        </r>
        <r>
          <rPr>
            <sz val="9"/>
            <rFont val="宋体"/>
            <charset val="134"/>
          </rPr>
          <t xml:space="preserve">
1#管沟</t>
        </r>
      </text>
    </comment>
    <comment ref="H59" authorId="0">
      <text>
        <r>
          <rPr>
            <b/>
            <sz val="9"/>
            <rFont val="宋体"/>
            <charset val="134"/>
          </rPr>
          <t>Administrator:</t>
        </r>
        <r>
          <rPr>
            <sz val="9"/>
            <rFont val="宋体"/>
            <charset val="134"/>
          </rPr>
          <t xml:space="preserve">
2#管沟</t>
        </r>
      </text>
    </comment>
    <comment ref="I59" authorId="0">
      <text>
        <r>
          <rPr>
            <b/>
            <sz val="9"/>
            <rFont val="宋体"/>
            <charset val="134"/>
          </rPr>
          <t>Administrator:</t>
        </r>
        <r>
          <rPr>
            <sz val="9"/>
            <rFont val="宋体"/>
            <charset val="134"/>
          </rPr>
          <t xml:space="preserve">
3#管沟</t>
        </r>
      </text>
    </comment>
    <comment ref="J59" authorId="0">
      <text>
        <r>
          <rPr>
            <b/>
            <sz val="9"/>
            <rFont val="宋体"/>
            <charset val="134"/>
          </rPr>
          <t>Administrator:</t>
        </r>
        <r>
          <rPr>
            <sz val="9"/>
            <rFont val="宋体"/>
            <charset val="134"/>
          </rPr>
          <t xml:space="preserve">
4#管沟</t>
        </r>
      </text>
    </comment>
    <comment ref="L59" authorId="0">
      <text>
        <r>
          <rPr>
            <b/>
            <sz val="9"/>
            <rFont val="宋体"/>
            <charset val="134"/>
          </rPr>
          <t>Administrator:</t>
        </r>
        <r>
          <rPr>
            <sz val="9"/>
            <rFont val="宋体"/>
            <charset val="134"/>
          </rPr>
          <t xml:space="preserve">
围墙</t>
        </r>
      </text>
    </comment>
    <comment ref="G60" authorId="0">
      <text>
        <r>
          <rPr>
            <b/>
            <sz val="9"/>
            <rFont val="宋体"/>
            <charset val="134"/>
          </rPr>
          <t>Administrator:</t>
        </r>
        <r>
          <rPr>
            <sz val="9"/>
            <rFont val="宋体"/>
            <charset val="134"/>
          </rPr>
          <t xml:space="preserve">
1#管沟</t>
        </r>
      </text>
    </comment>
  </commentList>
</comments>
</file>

<file path=xl/comments2.xml><?xml version="1.0" encoding="utf-8"?>
<comments xmlns="http://schemas.openxmlformats.org/spreadsheetml/2006/main">
  <authors>
    <author>苏灶梅</author>
  </authors>
  <commentList>
    <comment ref="C27" authorId="0">
      <text>
        <r>
          <rPr>
            <b/>
            <sz val="9"/>
            <rFont val="宋体"/>
            <charset val="134"/>
          </rPr>
          <t>苏灶梅:</t>
        </r>
        <r>
          <rPr>
            <sz val="9"/>
            <rFont val="宋体"/>
            <charset val="134"/>
          </rPr>
          <t xml:space="preserve">
答疑改为外墙腻子</t>
        </r>
      </text>
    </comment>
  </commentList>
</comments>
</file>

<file path=xl/sharedStrings.xml><?xml version="1.0" encoding="utf-8"?>
<sst xmlns="http://schemas.openxmlformats.org/spreadsheetml/2006/main" count="614" uniqueCount="253">
  <si>
    <t>混凝土及装饰装修工程汇总表</t>
  </si>
  <si>
    <t>序号</t>
  </si>
  <si>
    <t>项目名称</t>
  </si>
  <si>
    <t>不含税合计
（元）</t>
  </si>
  <si>
    <t>税金（%）</t>
  </si>
  <si>
    <t>含税合计
（元）</t>
  </si>
  <si>
    <t>备注</t>
  </si>
  <si>
    <t>玉林(福绵)节能环保产业园南部污水处理厂及中水回用设施建设项目(一期二标段5万吨/天)</t>
  </si>
  <si>
    <t>玉林(福绵)节能环保产业园南部工业供水厂建设项目(二期5万吨/天)</t>
  </si>
  <si>
    <t>合  计（元）</t>
  </si>
  <si>
    <t>砼及装饰装修工程工程报价清单（2025.9.11）</t>
  </si>
  <si>
    <t>工程名称：玉林(福绵)节能环保产业园南部污水处理厂及中水回用设施建设项目(一期二标段5万吨天)</t>
  </si>
  <si>
    <t>名称</t>
  </si>
  <si>
    <t>项目特征描述</t>
  </si>
  <si>
    <t>计算规则</t>
  </si>
  <si>
    <t>计量
单位</t>
  </si>
  <si>
    <t>暂定工程量
A</t>
  </si>
  <si>
    <t>生化组合池工程量</t>
  </si>
  <si>
    <t>生化沉淀、二级沉淀及臭氧组合池工程量</t>
  </si>
  <si>
    <t>综合设备间工程量</t>
  </si>
  <si>
    <t>污泥浓缩池工程量</t>
  </si>
  <si>
    <t>污泥脱水间及事故应急池工程量</t>
  </si>
  <si>
    <t>室外工程量</t>
  </si>
  <si>
    <t>人工费B
（元）</t>
  </si>
  <si>
    <t>主材费C
（元）</t>
  </si>
  <si>
    <t>辅材费D
（元）</t>
  </si>
  <si>
    <t>除主材、辅材、人工费、税金以外的其他费用E
（元）</t>
  </si>
  <si>
    <t>不含税
综合单价F=B+C+D+E
（元）</t>
  </si>
  <si>
    <t>不含税
综合合价G=A*F
（元）</t>
  </si>
  <si>
    <t>一</t>
  </si>
  <si>
    <t>主体部分</t>
  </si>
  <si>
    <t>砼浇捣工程</t>
  </si>
  <si>
    <t>主体混凝土浇捣</t>
  </si>
  <si>
    <t xml:space="preserve">按施工图纸、交楼标准、图纸会审、招标答疑、施工方案、现行相关规范、政府相关要求，包含且不限于以下内容：
1.浇筑、养护用工：含垫层、水池主体、水沟、泥斗斜板、二次构件（如构造柱、圈过梁、压顶、反坎等）、倒角斜板、设备基础、混凝土井等所有混凝土构件混凝土浇捣；
2.包盖塑料薄膜养护喷淋养护（如采用喷淋养护甲方提供水源接驳口）、包暴雨天气的薄膜覆盖、框架柱的覆膜养护；
3.包打凿/清理后浇带，施工缝凿毛处理等；
4.包含抽水、清泥、塌方处理等；
5.包钢筋混凝土结构完成面、原浆随打随抹平、表面清理干净等；
</t>
  </si>
  <si>
    <t>按广东2018定额计量规则按体积计算</t>
  </si>
  <si>
    <t>m3</t>
  </si>
  <si>
    <t>/</t>
  </si>
  <si>
    <t>石粉垫层</t>
  </si>
  <si>
    <t xml:space="preserve">1.100厚石粉;
2.素土夯实,压实系数≥0.94
3.具体做法详见招标图纸 </t>
  </si>
  <si>
    <t>按广东2018定额计量规则按平方计算</t>
  </si>
  <si>
    <t>m2</t>
  </si>
  <si>
    <t>砼墙体螺杆洞修补（一次性止水螺杆）</t>
  </si>
  <si>
    <r>
      <rPr>
        <sz val="11"/>
        <rFont val="宋体"/>
        <charset val="134"/>
      </rPr>
      <t>1、螺杆由木工班拆模时负责一次性完成
2、墙两侧打凿深度20mm喇叭孔，采用聚合物水泥砂浆填塞封堵密实，并与结构面平齐，最后涂刷聚合物水泥基防水涂料</t>
    </r>
    <r>
      <rPr>
        <b/>
        <sz val="11"/>
        <rFont val="宋体"/>
        <charset val="134"/>
      </rPr>
      <t>（砂浆甲供，防水材料乙供）</t>
    </r>
    <r>
      <rPr>
        <sz val="11"/>
        <rFont val="宋体"/>
        <charset val="134"/>
      </rPr>
      <t xml:space="preserve">
3、具体要求按招标图纸及甲方施工方案完成。</t>
    </r>
  </si>
  <si>
    <t>按剪力墙模板面积计算</t>
  </si>
  <si>
    <t>砼墙体螺杆洞泡沫胶封堵（对拉螺杆）</t>
  </si>
  <si>
    <r>
      <rPr>
        <sz val="11"/>
        <rFont val="宋体"/>
        <charset val="134"/>
      </rPr>
      <t>1、孔内注入泡沫填缝剂，墙两侧打凿深度20mm喇叭孔，采用聚合物水泥砂浆填塞封堵密实，并与结构面平齐。</t>
    </r>
    <r>
      <rPr>
        <b/>
        <sz val="11"/>
        <rFont val="宋体"/>
        <charset val="134"/>
      </rPr>
      <t>(砂浆甲供，其他材料乙供)</t>
    </r>
    <r>
      <rPr>
        <sz val="11"/>
        <rFont val="宋体"/>
        <charset val="134"/>
      </rPr>
      <t xml:space="preserve">
2、具体要求按招标图纸及甲方施工方案完成。</t>
    </r>
  </si>
  <si>
    <t>砖胎膜砌筑工程</t>
  </si>
  <si>
    <t>蒸压加气混凝土砌块（100厚）</t>
  </si>
  <si>
    <t xml:space="preserve">按施工图纸、交楼标准、图纸会审、招标答疑、施工方案、现行相关规范、政府相关要求，包含且不限于以下内容：
1.含人工机械清理整平场地（挖及填）；
2.含木枋、钢管等对砖模的加固、支撑；
3.施工方案：按甲方的施工方案执行。
4、具体做法详见招标图纸 </t>
  </si>
  <si>
    <t>按广东2018定额计量规则按面积计算</t>
  </si>
  <si>
    <t>蒸压加气混凝土砌块（200厚）</t>
  </si>
  <si>
    <t>实心砖（240厚）</t>
  </si>
  <si>
    <t>砌体工程</t>
  </si>
  <si>
    <t>按施工图纸、交楼标准、图纸会审、招标答疑、施工方案、现行相关规范、政府相关要求，包含且不限于以下内容：
1.植筋（墙体拉结筋、圈、过梁植筋）、湿砖、上料、砌砖、勾缝、顶砖、留槽留洞(包括图纸内容及与其他专业配合的预留槽/洞)、门窗的收口补缝、现场预制过梁、门窗固定点、落地灰清扫、水泥袋回收、堆码、维护及场内运输等；
2.含各种零星泥水收口、补缝。包底层清理、堵洞。包消防通风等所有预留洞边封堵及收口。包外架连墙杆洞口封堵收口。
3.砌块切割采用专用切割机械完成，不得现场随便乱砍而成；
4.所有楼层层高＞6米搭设室内双排架及移动操作架（甲方另行搭设），楼层层高≤6米移动操作架/双排架由分包自行搭拆，产生的人工降效不另计价，已包含在此清单价款中。</t>
  </si>
  <si>
    <t>混凝土实心砌块（200厚）</t>
  </si>
  <si>
    <t>零星混凝土实心砌块（防水保护砖60厚）</t>
  </si>
  <si>
    <t>楼地面工程</t>
  </si>
  <si>
    <t>水泥砂浆找平层
（不分厚度）</t>
  </si>
  <si>
    <t>按施工图纸、交楼标准、图纸会审、招标答疑、施工方案、现行相关规范、政府相关要求，包含且不限于以下内容：
1.基层清理、刷素水泥浆结合层一遍、找平、压光、洞口收口等工序。
2.养护及成品保护</t>
  </si>
  <si>
    <t>细石混凝土找平
（不分厚度）</t>
  </si>
  <si>
    <t>细石混凝土找平
（不分厚度，铺钢丝网）</t>
  </si>
  <si>
    <t>按施工图纸、交楼标准、图纸会审、招标答疑、施工方案、现行相关规范、政府相关要求，包含且不限于以下内容：
1.基层清理、刷素水泥浆结合层一遍、钢（筋）丝网、找平、压光、分缝、洞口收口等工序。
2.养护及成品保护</t>
  </si>
  <si>
    <t>面砖楼面</t>
  </si>
  <si>
    <r>
      <rPr>
        <sz val="11"/>
        <rFont val="宋体"/>
        <charset val="134"/>
      </rPr>
      <t>按施工图纸、交楼标准、图纸会审、招标答疑、施工方案、现行相关规范、政府相关要求，包含且不限于以下内容：
1.基层清理、基层处理、结合层、切割贴面砖、擦(勾)缝、清洁面层；</t>
    </r>
    <r>
      <rPr>
        <b/>
        <sz val="11"/>
        <rFont val="宋体"/>
        <charset val="134"/>
      </rPr>
      <t>（面砖乙供）</t>
    </r>
    <r>
      <rPr>
        <sz val="11"/>
        <rFont val="宋体"/>
        <charset val="134"/>
      </rPr>
      <t xml:space="preserve">
2.养护及成品保护。</t>
    </r>
  </si>
  <si>
    <t>水泥、砂浆材料甲供</t>
  </si>
  <si>
    <r>
      <rPr>
        <sz val="11"/>
        <rFont val="宋体"/>
        <charset val="134"/>
      </rPr>
      <t>陶粒回填</t>
    </r>
    <r>
      <rPr>
        <b/>
        <sz val="11"/>
        <rFont val="宋体"/>
        <charset val="134"/>
      </rPr>
      <t>（包工包料）</t>
    </r>
  </si>
  <si>
    <t>按施工图纸、交楼标准、图纸会审、招标答疑、施工方案、现行相关规范、政府相关要求，包含且不限于以下内容：
1.C15 水泥陶粒砼填充层(或1:8水泥加气砼碎渣填充层）</t>
  </si>
  <si>
    <t>按广东2018定额计量规则按立方计算</t>
  </si>
  <si>
    <r>
      <rPr>
        <sz val="11"/>
        <rFont val="宋体"/>
        <charset val="134"/>
      </rPr>
      <t>环氧树脂自流平涂料楼面</t>
    </r>
    <r>
      <rPr>
        <b/>
        <sz val="11"/>
        <rFont val="宋体"/>
        <charset val="134"/>
      </rPr>
      <t>（包工包料）</t>
    </r>
  </si>
  <si>
    <t>按施工图纸、交楼标准、图纸会审、招标答疑、施工方案、现行相关规范、政府相关要求，包含且不限于以下内容：
1. 3~4厚环氧树脂自流平涂料
2. 环氧稀胶泥一道</t>
  </si>
  <si>
    <t>水磨石楼面</t>
  </si>
  <si>
    <r>
      <rPr>
        <sz val="11"/>
        <rFont val="宋体"/>
        <charset val="134"/>
      </rPr>
      <t>按施工图纸、交楼标准、图纸会审、招标答疑、施工方案、现行相关规范、政府相关要求，包含且不限于以下内容：
1. 15厚1:2水泥石子磨光</t>
    </r>
    <r>
      <rPr>
        <b/>
        <sz val="11"/>
        <rFont val="宋体"/>
        <charset val="134"/>
      </rPr>
      <t>（包工包料）</t>
    </r>
    <r>
      <rPr>
        <sz val="11"/>
        <rFont val="宋体"/>
        <charset val="134"/>
      </rPr>
      <t xml:space="preserve">
2. 素水泥浆结合层一遍</t>
    </r>
  </si>
  <si>
    <t xml:space="preserve"> 15厚1:2水泥石子磨光（包工包料）</t>
  </si>
  <si>
    <t>墙柱面工程</t>
  </si>
  <si>
    <t>内抹灰劳务费（不分厚度）</t>
  </si>
  <si>
    <t xml:space="preserve">
按施工图纸、交楼标准、图纸会审、招标答疑、施工方案、现行相关规范、政府相关要求，包含且不限于以下内容：
1.包基层清理、放线、打点、墙面修补、打磨、堵洞、刷专用界面处理剂、上料、挂网、甩毛、勾缝、抹灰、洞口收口、养护、外架连墙杆洞口封堵收口、各种零星泥水收口。
2.所有楼层层高＞6米搭设室内双排架及移动操作架（甲方另行搭设），楼层层高≤6米移动操作架/双排架由分包自行搭拆，产生的人工降效不另计价，已包含在此清单价款中。
</t>
  </si>
  <si>
    <t>内墙面贴砖</t>
  </si>
  <si>
    <r>
      <rPr>
        <sz val="11"/>
        <rFont val="宋体"/>
        <charset val="134"/>
      </rPr>
      <t>按施工图纸、交楼标准、图纸会审、招标答疑、施工方案、现行相关规范、政府相关要求，包含且不限于以下内容：
1.选料、切割瓷片、专用粘结剂粘结、贴面砖、擦缝、清洁表面</t>
    </r>
    <r>
      <rPr>
        <b/>
        <sz val="11"/>
        <rFont val="宋体"/>
        <charset val="134"/>
      </rPr>
      <t>（面砖乙供）</t>
    </r>
    <r>
      <rPr>
        <sz val="11"/>
        <rFont val="宋体"/>
        <charset val="134"/>
      </rPr>
      <t xml:space="preserve">
2.养护及成品保护</t>
    </r>
  </si>
  <si>
    <t>外墙面抹灰（不分厚度）</t>
  </si>
  <si>
    <t xml:space="preserve">按施工图纸、交楼标准、图纸会审、招标答疑、施工方案、现行相关规范、政府相关要求，包含且不限于以下内容：
1.包基层清理、墙面修补、刷专用界面处理剂、上料、挂网、甩毛、勾缝、打点、抹灰、洞口收口、养护、外架连墙杆洞口封堵收口、各种零星泥水收口。
</t>
  </si>
  <si>
    <t>外墙面贴砖</t>
  </si>
  <si>
    <t>按施工图纸、交楼标准、图纸会审、招标答疑、施工方案、现行相关规范、政府相关要求，包含且不限于以下内容：
1.包含选料、专用粘结剂粘结、切割贴面砖、擦(勾)缝、填缝、清洁面层等；
2.含做大分隔缝600*600；
3.养护及成品保护</t>
  </si>
  <si>
    <t>外墙面挤塑聚苯板</t>
  </si>
  <si>
    <t>按施工图纸、交楼标准、图纸会审、招标答疑、施工方案、现行相关规范、政府相关要求，包含且不限于以下内容：
1.30厚挤塑聚苯乙烯泡沫塑料板保护层,用建筑胶粘贴
2、包基层和边角处理、聚苯板、板面压平等。</t>
  </si>
  <si>
    <t>水沟、水槽抹灰</t>
  </si>
  <si>
    <t>1、包底层清理、打磨、堵洞、刷专用界面处理剂
2、含放线、打点、甩毛、抹灰、收口、勾缝</t>
  </si>
  <si>
    <t>屋面工程</t>
  </si>
  <si>
    <t>细石混凝土屋面保护层 
（不分厚度、带钢筋网）</t>
  </si>
  <si>
    <t>按施工图纸、交楼标准、图纸会审、招标答疑、施工方案、现行相关规范、政府相关要求，包含且不限于以下内容：
1.基层清理、基层处理、保护层、钢（筋）丝网片、分（切）缝、嵌缝、隔离层、压光等工序（防水防腐除外）
2.养护及成品保护</t>
  </si>
  <si>
    <t>细石混凝土屋面保护层 
（不分厚度）</t>
  </si>
  <si>
    <t>按施工图纸、交楼标准、图纸会审、招标答疑、施工方案、现行相关规范、政府相关要求，包含且不限于以下内容：
1.基层清理、基层处理、保护层、分（切）缝、嵌缝、隔离层、压光等工序（防水防腐除外）
2.养护及成品保护</t>
  </si>
  <si>
    <t>水泥砂浆屋面找平层
（不分厚度）</t>
  </si>
  <si>
    <t>按施工图纸、交楼标准、图纸会审、招标答疑、施工方案、现行相关规范、政府相关要求，包含且不限于以下内容：
1.基层清理、泛水圆角、基层处理、保护层等工序（防水防腐除外）；
2.养护及成品保护。</t>
  </si>
  <si>
    <t>细石混凝土屋面找坡层
（不分厚度）</t>
  </si>
  <si>
    <t>按施工图纸、交楼标准、图纸会审、招标答疑、施工方案、现行相关规范、政府相关要求，包含且不限于以下内容：
1.基层清理、泛水圆角、找坡层、基层处理等工序（防水防腐除外）；
2.养护及成品保护。</t>
  </si>
  <si>
    <t>油漆、涂料工程（包工包料）</t>
  </si>
  <si>
    <r>
      <rPr>
        <sz val="11"/>
        <rFont val="宋体"/>
        <charset val="134"/>
      </rPr>
      <t>内墙面涂料油漆</t>
    </r>
    <r>
      <rPr>
        <b/>
        <sz val="11"/>
        <rFont val="宋体"/>
        <charset val="134"/>
      </rPr>
      <t>【包工包料】</t>
    </r>
  </si>
  <si>
    <r>
      <rPr>
        <sz val="11"/>
        <rFont val="宋体"/>
        <charset val="134"/>
      </rPr>
      <t xml:space="preserve">按施工图纸、交楼标准、图纸会审、招标答疑、施工方案、现行相关规范、政府相关要求，包含且不限于以下内容：
</t>
    </r>
    <r>
      <rPr>
        <b/>
        <sz val="11"/>
        <rFont val="宋体"/>
        <charset val="134"/>
      </rPr>
      <t>1.喷或滚刷底漆一道,干燥后刷白色外墙涂料二遍;
2.满刮外墙耐水腻子二道,砂纸磨平;</t>
    </r>
    <r>
      <rPr>
        <sz val="11"/>
        <rFont val="宋体"/>
        <charset val="134"/>
      </rPr>
      <t xml:space="preserve">
3、品牌要求：采用符合国家标准的工程漆，同时满足甲方要求
4、所有楼层层高＞6米搭设室内双排架及移动操作架（甲方另行搭设），楼层层高≤6米移动操作架/双排架由分包自行搭拆，产生的人工降效不另计价，已包含在此清单价款中。</t>
    </r>
  </si>
  <si>
    <t>按广东2018定额计量规则面积计算</t>
  </si>
  <si>
    <r>
      <rPr>
        <sz val="11"/>
        <rFont val="宋体"/>
        <charset val="134"/>
      </rPr>
      <t>天棚面涂料油漆（采用外墙防水材料）</t>
    </r>
    <r>
      <rPr>
        <b/>
        <sz val="11"/>
        <rFont val="宋体"/>
        <charset val="134"/>
      </rPr>
      <t>【包工包料】</t>
    </r>
  </si>
  <si>
    <r>
      <rPr>
        <sz val="11"/>
        <rFont val="宋体"/>
        <charset val="134"/>
      </rPr>
      <t xml:space="preserve">
按施工图纸、交楼标准、图纸会审、招标答疑、施工方案、现行相关规范、政府相关要求，包含且不限于以下内容：
</t>
    </r>
    <r>
      <rPr>
        <b/>
        <sz val="11"/>
        <rFont val="宋体"/>
        <charset val="134"/>
      </rPr>
      <t>1.满刮外墙耐水腻子两遍,砂纸磨平;</t>
    </r>
    <r>
      <rPr>
        <sz val="11"/>
        <rFont val="宋体"/>
        <charset val="134"/>
      </rPr>
      <t xml:space="preserve">
2、品牌要求：采用符合国家标准的工程漆，同时满足甲方要求
3.所有楼层层高＞6米，利用原满堂模板支撑架体，木工班组拆除模板及顶层水平杆后，乙方自行负责在模板支撑架体上搭设操作平台，甲方不再另行提供操作架。
4、楼层层高≤6米，扣件式操作平台由乙方负责搭拆施工天花/顶棚涂料，操作平台搭设须符合规范要求，产生的人工降效不另计价，已包含在此清单价款中。</t>
    </r>
  </si>
  <si>
    <r>
      <rPr>
        <sz val="11"/>
        <rFont val="宋体"/>
        <charset val="134"/>
      </rPr>
      <t xml:space="preserve">
按施工图纸、交楼标准、图纸会审、招标答疑、施工方案、现行相关规范、政府相关要求，包含且不限于以下内容：
</t>
    </r>
    <r>
      <rPr>
        <b/>
        <sz val="11"/>
        <rFont val="宋体"/>
        <charset val="134"/>
      </rPr>
      <t>1.刷底漆一遍,白色外墙面漆(A级)二遍
2.满刮外墙腻子两遍,砂纸磨平;</t>
    </r>
    <r>
      <rPr>
        <sz val="11"/>
        <rFont val="宋体"/>
        <charset val="134"/>
      </rPr>
      <t xml:space="preserve">
3、品牌要求：采用符合国家标准的工程漆，同时满足甲方要求
3.所有楼层层高＞6米，利用原满堂模板支撑架体，木工班组拆除模板及顶层水平杆后，乙方自行负责在模板支撑架体上搭设操作平台，甲方不再另行提供操作架。
4、楼层层高≤6米，扣件式操作平台由乙方负责搭拆施工天花/顶棚涂料，操作平台搭设须符合规范要求，产生的人工降效不另计价，已包含在此清单价款中。</t>
    </r>
  </si>
  <si>
    <t>其它装饰工程</t>
  </si>
  <si>
    <r>
      <rPr>
        <sz val="11"/>
        <rFont val="宋体"/>
        <charset val="134"/>
      </rPr>
      <t>涂料踢脚线</t>
    </r>
    <r>
      <rPr>
        <b/>
        <sz val="11"/>
        <rFont val="宋体"/>
        <charset val="134"/>
      </rPr>
      <t>（包工包料）</t>
    </r>
  </si>
  <si>
    <t>按施工图纸、交楼标准、图纸会审、招标答疑、施工方案、现行相关规范、政府相关要求，包含且不限于以下内容：
1.灰色外墙涂料二遍;
2.满刮外墙腻子二道,砂纸磨平;
3.具体做法详见招标图纸</t>
  </si>
  <si>
    <r>
      <rPr>
        <sz val="11"/>
        <rFont val="宋体"/>
        <charset val="134"/>
      </rPr>
      <t>涂料墙裙</t>
    </r>
    <r>
      <rPr>
        <b/>
        <sz val="11"/>
        <rFont val="宋体"/>
        <charset val="134"/>
      </rPr>
      <t>（包工包料）</t>
    </r>
  </si>
  <si>
    <t>按施工图纸、交楼标准、图纸会审、招标答疑、施工方案、现行相关规范、政府相关要求，包含且不限于以下内容：
1.滚涂深灰色外墙涂料二道(高度详图纸);
2.满刮耐水腻子一道;
3.具体做法详见招标图纸</t>
  </si>
  <si>
    <t>漏斗砖（池底）</t>
  </si>
  <si>
    <t>按施工图纸、交楼标准、图纸会审、招标答疑、施工方案、现行相关规范、政府相关要求，包含且不限于以下内容：
1、内填级配砖渣
2、具体做法详见招标图纸</t>
  </si>
  <si>
    <t>楼梯步级砂浆压光(平面带防滑条)</t>
  </si>
  <si>
    <r>
      <rPr>
        <sz val="11"/>
        <rFont val="宋体"/>
        <charset val="134"/>
      </rPr>
      <t>按施工图纸、交楼标准、图纸会审、招标答疑、施工方案、现行相关规范、政府相关要求，包含且不限于以下内容：
1.基层清理、刷基层处理剂、砂浆找平压光等工序；
2.含楼梯间挡水线</t>
    </r>
    <r>
      <rPr>
        <b/>
        <sz val="11"/>
        <rFont val="宋体"/>
        <charset val="134"/>
      </rPr>
      <t>（瓷砖包工包料）</t>
    </r>
    <r>
      <rPr>
        <sz val="11"/>
        <rFont val="宋体"/>
        <charset val="134"/>
      </rPr>
      <t>；
3.含楼梯防滑条</t>
    </r>
    <r>
      <rPr>
        <b/>
        <sz val="11"/>
        <rFont val="宋体"/>
        <charset val="134"/>
      </rPr>
      <t>（瓷砖包工包料）</t>
    </r>
    <r>
      <rPr>
        <sz val="11"/>
        <rFont val="宋体"/>
        <charset val="134"/>
      </rPr>
      <t>。
4.具体做法详见招标图纸</t>
    </r>
  </si>
  <si>
    <t>按踏步级数（休息平台按两级计算）</t>
  </si>
  <si>
    <t>级</t>
  </si>
  <si>
    <t>散水</t>
  </si>
  <si>
    <t>按施工图纸、交楼标准、图纸会审、招标答疑、施工方案、现行相关规范、政府相关要求，包含且不限于以下内容：
1、20厚1:2.5水泥砂浆抹面
2、60厚C15混凝土
3、60厚中砂垫层
4、具体做法详见招标图纸</t>
  </si>
  <si>
    <t>砖砌台阶(面层抹灰砂浆20mm厚）</t>
  </si>
  <si>
    <t>按施工图纸、交楼标准、图纸会审、招标答疑、施工方案、现行相关规范、政府相关要求，包含且不限于以下内容：
1.基层清理、刷基层处理剂、砂浆找平压光等工序；
2.砖砌台阶踏步
3.具体做法详见招标图纸</t>
  </si>
  <si>
    <t>水池底板外钢筋砼包管大样图</t>
  </si>
  <si>
    <t>按施工图纸、交楼标准、图纸会审、招标答疑、施工方案、现行相关规范、政府相关要求，包含且不限于以下内容：
1、C30 P6水池底板外钢筋砼包管大样图
2、C20素砼垫层
3、具体做法详见招标图纸</t>
  </si>
  <si>
    <t>按实际完成按米计算</t>
  </si>
  <si>
    <t>m</t>
  </si>
  <si>
    <t>二</t>
  </si>
  <si>
    <t>室外工程</t>
  </si>
  <si>
    <t>道路</t>
  </si>
  <si>
    <t>混凝土路面</t>
  </si>
  <si>
    <t>1、22cm C35水泥混凝土
2、在临近胀缝或自由端的三条缩缝应设传力杆；其余缩缝不设传力杆,所有缝均用机械切缝；聚氯乙烯胶泥填缝
3、传力杆均为一级圆钢,拉杆均为三级螺纹钢
4、具体做法详见招标图纸</t>
  </si>
  <si>
    <t>按广东2018定额计量规则以面积计算</t>
  </si>
  <si>
    <t>道路基层</t>
  </si>
  <si>
    <t>1、15cm 5%水泥稳定碎石
2、15cm 4%水泥稳定碎石
3、15cm 级配碎石
4、具体做法详见招标图纸</t>
  </si>
  <si>
    <t>1、15cm 5%水泥稳定碎石
2、具体做法详见招标图纸</t>
  </si>
  <si>
    <t>人行道及硬铺路面</t>
  </si>
  <si>
    <r>
      <rPr>
        <sz val="11"/>
        <rFont val="宋体"/>
        <charset val="134"/>
      </rPr>
      <t>1、6cm厚透水砖
2、12cm厚C30混凝土</t>
    </r>
    <r>
      <rPr>
        <b/>
        <sz val="11"/>
        <rFont val="宋体"/>
        <charset val="134"/>
      </rPr>
      <t>（混凝土甲供）</t>
    </r>
    <r>
      <rPr>
        <sz val="11"/>
        <rFont val="宋体"/>
        <charset val="134"/>
      </rPr>
      <t xml:space="preserve">
3、15cm厚级配石屑</t>
    </r>
    <r>
      <rPr>
        <b/>
        <sz val="11"/>
        <rFont val="宋体"/>
        <charset val="134"/>
      </rPr>
      <t>（级配石屑甲供）</t>
    </r>
    <r>
      <rPr>
        <sz val="11"/>
        <rFont val="宋体"/>
        <charset val="134"/>
      </rPr>
      <t xml:space="preserve">
4、具体做法详见招标图纸</t>
    </r>
  </si>
  <si>
    <t>除甲供材外其它材料为乙供</t>
  </si>
  <si>
    <t>植草砖路面(停车场)</t>
  </si>
  <si>
    <r>
      <rPr>
        <sz val="11"/>
        <rFont val="宋体"/>
        <charset val="134"/>
      </rPr>
      <t>1、8cm厚植草砖(格内填种植土,上铺草皮)
2、8cm厚砂土养植层(细石:粗砂:种植土=3:2:5）</t>
    </r>
    <r>
      <rPr>
        <b/>
        <sz val="11"/>
        <rFont val="宋体"/>
        <charset val="134"/>
      </rPr>
      <t>（甲供）</t>
    </r>
    <r>
      <rPr>
        <sz val="11"/>
        <rFont val="宋体"/>
        <charset val="134"/>
      </rPr>
      <t xml:space="preserve">
3、15cm厚C30透水混凝土
4、15cm厚6%水泥石粉稳定层</t>
    </r>
    <r>
      <rPr>
        <b/>
        <sz val="11"/>
        <rFont val="宋体"/>
        <charset val="134"/>
      </rPr>
      <t>（水泥、石粉甲供）</t>
    </r>
    <r>
      <rPr>
        <sz val="11"/>
        <rFont val="宋体"/>
        <charset val="134"/>
      </rPr>
      <t xml:space="preserve">
5、具体做法详见招标图纸</t>
    </r>
  </si>
  <si>
    <t>安砌侧(平、缘)石</t>
  </si>
  <si>
    <r>
      <rPr>
        <sz val="11"/>
        <rFont val="宋体"/>
        <charset val="134"/>
      </rPr>
      <t>1.材料品种、规格:C30预制砼平石(100*15*30cm)，3cm M10水泥砂浆</t>
    </r>
    <r>
      <rPr>
        <b/>
        <sz val="11"/>
        <rFont val="宋体"/>
        <charset val="134"/>
      </rPr>
      <t>（砂浆甲供）</t>
    </r>
    <r>
      <rPr>
        <sz val="11"/>
        <rFont val="宋体"/>
        <charset val="134"/>
      </rPr>
      <t xml:space="preserve">
2.缘石垫层材料:C20混凝土后座</t>
    </r>
    <r>
      <rPr>
        <b/>
        <sz val="11"/>
        <rFont val="宋体"/>
        <charset val="134"/>
      </rPr>
      <t>（混凝土甲供）</t>
    </r>
    <r>
      <rPr>
        <sz val="11"/>
        <rFont val="宋体"/>
        <charset val="134"/>
      </rPr>
      <t xml:space="preserve">
3.具体做法详见招标图纸</t>
    </r>
  </si>
  <si>
    <t>按广东2018定额计量规则米计算</t>
  </si>
  <si>
    <t>管沟工程、围墙工程、挡土墙工程</t>
  </si>
  <si>
    <t>混凝土浇捣砼</t>
  </si>
  <si>
    <t>1、混凝土浇捣构件包含管沟、垫层、墙、基础、地梁、平板、柱、有梁板、构造柱、压顶、集水坑及设备基础等所有砼构件
2.具体做法详见招标图纸</t>
  </si>
  <si>
    <t>管沟抹灰</t>
  </si>
  <si>
    <t>1、包底层清理、打磨、堵洞、刷专用界面处理剂
2、砌体外墙面
3、剪力墙、柱、梁面螺杆洞打泡沫胶封堵
4、含放线、打点、甩毛、各种零星泥水收口
5、具体做法详见招标图纸</t>
  </si>
  <si>
    <t>雨水沟</t>
  </si>
  <si>
    <t>1、20厚1:2水泥砂浆抹面(内掺5%防水剂)
2、200厚C25砼浇筑
3、100厚C20素砼浇筑
4、包沟槽土方挖、填
5.具体做法详见招标图纸</t>
  </si>
  <si>
    <t>按延长米计算</t>
  </si>
  <si>
    <t>砖砌围墙柱子</t>
  </si>
  <si>
    <t>1.类型:围墙
2.砖品种、规格、强度等级:砌MU10灰砂砖砌筑
3.砂浆强度等级:M5混合砂浆
4、围墙长度超过40米（8跨）时，设伸缩缝,其位置在砖垛处,做法采用用聚苯乙烯发泡材料填缝
5.具体做法详见招标图纸</t>
  </si>
  <si>
    <t>灰砂砖（200厚）</t>
  </si>
  <si>
    <t>1.墙体类型:200厚外墙，围墙
2.砌块品种、规格、强度等级:砌MU15灰砂砖砌筑
3.砂浆强度等级:M5水泥砂浆
3、具体做法详见招标图纸</t>
  </si>
  <si>
    <t>外墙面一般抹灰（围墙及围墙立柱）</t>
  </si>
  <si>
    <r>
      <rPr>
        <sz val="11"/>
        <rFont val="宋体"/>
        <charset val="134"/>
      </rPr>
      <t>外墙涂料</t>
    </r>
    <r>
      <rPr>
        <b/>
        <sz val="11"/>
        <rFont val="宋体"/>
        <charset val="134"/>
      </rPr>
      <t>（包工包料）</t>
    </r>
    <r>
      <rPr>
        <sz val="11"/>
        <rFont val="宋体"/>
        <charset val="134"/>
      </rPr>
      <t>（围墙及围墙立柱）</t>
    </r>
  </si>
  <si>
    <t xml:space="preserve">
1、喷涂外墙涂料
2.选料、结合层、分格缝、清洁面层
3.养护及成品保护
4、具体做法详见招标图纸</t>
  </si>
  <si>
    <t>毛石混凝土（挡土墙）</t>
  </si>
  <si>
    <t xml:space="preserve">
1、混凝土种类：C25毛石混凝土
2、浇捣、覆膜养护
3、挡土墙变形缝布置间距12~15m，缝内采用填塞沥青麻筋或涂沥青木板塞入深度不应小于200mm
4、具体做法详见招标图纸</t>
  </si>
  <si>
    <t>外墙面一般抹灰（挡土墙）</t>
  </si>
  <si>
    <r>
      <rPr>
        <sz val="11"/>
        <rFont val="宋体"/>
        <charset val="134"/>
      </rPr>
      <t>泄水孔（挡土墙）</t>
    </r>
    <r>
      <rPr>
        <b/>
        <sz val="11"/>
        <rFont val="宋体"/>
        <charset val="134"/>
      </rPr>
      <t>（包工包料）</t>
    </r>
  </si>
  <si>
    <t>1、泄水孔φC100@2000
2、泄水管伸出墙背300
3、φ10开孔率5%~10%
4、两层防老化土工布包裹
5、具体做法详见招标图纸</t>
  </si>
  <si>
    <t>个</t>
  </si>
  <si>
    <t>反滤包大样（挡土墙）</t>
  </si>
  <si>
    <r>
      <rPr>
        <sz val="11"/>
        <rFont val="宋体"/>
        <charset val="134"/>
      </rPr>
      <t>1、300~400g/m2 土工布
2、200厚1~4mm砂砾或石屑粗砾或碎石,平均粒径20mm</t>
    </r>
    <r>
      <rPr>
        <b/>
        <sz val="11"/>
        <rFont val="宋体"/>
        <charset val="134"/>
      </rPr>
      <t>（砂砾、碎石、石屑甲供）</t>
    </r>
    <r>
      <rPr>
        <sz val="11"/>
        <rFont val="宋体"/>
        <charset val="134"/>
      </rPr>
      <t xml:space="preserve">
3、夯实粘土
4、具体做法详见招标图纸</t>
    </r>
  </si>
  <si>
    <t>绿化工程</t>
  </si>
  <si>
    <r>
      <rPr>
        <sz val="11"/>
        <rFont val="宋体"/>
        <charset val="134"/>
      </rPr>
      <t>马尼拉草</t>
    </r>
    <r>
      <rPr>
        <b/>
        <sz val="11"/>
        <rFont val="宋体"/>
        <charset val="134"/>
      </rPr>
      <t>（包工包料）</t>
    </r>
  </si>
  <si>
    <t>1、铺草皮
2、具体做法详见招标图纸</t>
  </si>
  <si>
    <t>三</t>
  </si>
  <si>
    <t>临时设施、安全文明施工工程</t>
  </si>
  <si>
    <t>地面硬化（不分厚度）</t>
  </si>
  <si>
    <t>1、包平土，按甲方做法要求，质量必须满足现行质量验收标准。</t>
  </si>
  <si>
    <t>按水平投影面积计算（不含垫层出宽）</t>
  </si>
  <si>
    <t>排架硬化垫层</t>
  </si>
  <si>
    <t>按水平投影面积计算</t>
  </si>
  <si>
    <t>方井、雨水井</t>
  </si>
  <si>
    <t>按个计算</t>
  </si>
  <si>
    <t>规格：500x500，H≤1.2m</t>
  </si>
  <si>
    <t>临时设施排水沟</t>
  </si>
  <si>
    <t>1、按甲方标准化做法施工，包平土、包砌砖、包抹灰，质量必须满足现行质量验收标准。</t>
  </si>
  <si>
    <t>临时设施砌砖（不分材质、不分厚度）</t>
  </si>
  <si>
    <t>1、按甲方标准化做法施工，包砌砖、质量必须满足现行质量验收标准。</t>
  </si>
  <si>
    <t>按实际完成工程量以面积计算</t>
  </si>
  <si>
    <t>临时设施抹灰（不分材质、不分厚度、不分内外墙）</t>
  </si>
  <si>
    <t>1、按甲方标准化做法施工，包抹灰，质量必须满足现行质量验收标准。</t>
  </si>
  <si>
    <t>临时设施混凝土浇捣</t>
  </si>
  <si>
    <t>1、按甲方标准化做法施工，包砼浇捣、包平土，质量必须满足现行质量验收标准。</t>
  </si>
  <si>
    <t>按实际完成工程量以体积计算</t>
  </si>
  <si>
    <t>四</t>
  </si>
  <si>
    <t>植筋工程（砌体植筋除外）</t>
  </si>
  <si>
    <t>植筋φ6</t>
  </si>
  <si>
    <t>根</t>
  </si>
  <si>
    <r>
      <rPr>
        <sz val="11"/>
        <rFont val="宋体"/>
        <charset val="134"/>
      </rPr>
      <t>工作内容：包含植筋胶植筋</t>
    </r>
    <r>
      <rPr>
        <b/>
        <sz val="11"/>
        <rFont val="宋体"/>
        <charset val="134"/>
      </rPr>
      <t>（植筋胶乙供）</t>
    </r>
    <r>
      <rPr>
        <sz val="11"/>
        <rFont val="宋体"/>
        <charset val="134"/>
      </rPr>
      <t>、测量、放线、定位、钻孔、清孔、植筋、固化等工序。</t>
    </r>
  </si>
  <si>
    <t>植筋φ8</t>
  </si>
  <si>
    <t>植筋φ10</t>
  </si>
  <si>
    <t>植筋φ12</t>
  </si>
  <si>
    <t>植筋φ14</t>
  </si>
  <si>
    <t>植筋φ16</t>
  </si>
  <si>
    <t>植筋φ18</t>
  </si>
  <si>
    <t>植筋φ20</t>
  </si>
  <si>
    <t>植筋φ22</t>
  </si>
  <si>
    <t>植筋φ25</t>
  </si>
  <si>
    <t>五</t>
  </si>
  <si>
    <t>不含税工程合计（一+二+三+四）</t>
  </si>
  <si>
    <t>元</t>
  </si>
  <si>
    <t>六</t>
  </si>
  <si>
    <r>
      <rPr>
        <b/>
        <sz val="11"/>
        <rFont val="宋体"/>
        <charset val="134"/>
      </rPr>
      <t>税金（含税</t>
    </r>
    <r>
      <rPr>
        <b/>
        <u/>
        <sz val="11"/>
        <rFont val="宋体"/>
        <charset val="134"/>
      </rPr>
      <t xml:space="preserve">    %</t>
    </r>
    <r>
      <rPr>
        <b/>
        <sz val="11"/>
        <rFont val="宋体"/>
        <charset val="134"/>
      </rPr>
      <t>）</t>
    </r>
  </si>
  <si>
    <t>七</t>
  </si>
  <si>
    <t>含税工程合计（五+六）</t>
  </si>
  <si>
    <r>
      <t>备注：
1、以上工程量均为暂定工程量。
2、以上价格为含税价，开具票面</t>
    </r>
    <r>
      <rPr>
        <u/>
        <sz val="12"/>
        <rFont val="宋体"/>
        <charset val="134"/>
      </rPr>
      <t xml:space="preserve">    %</t>
    </r>
    <r>
      <rPr>
        <sz val="12"/>
        <rFont val="宋体"/>
        <charset val="134"/>
      </rPr>
      <t xml:space="preserve">增值税专用发票（税率按国家政策执行，造价随之调整）。
</t>
    </r>
    <r>
      <rPr>
        <b/>
        <sz val="12"/>
        <rFont val="宋体"/>
        <charset val="134"/>
      </rPr>
      <t>3、本工程混凝土、水泥、砂、砖、钢（丝）筋网片、抹灰挂网、聚酯无纺布、砂浆、108 胶水、沥青、耐候胶、专用粘结剂、外墙砖、石粉、碎石、毛石、挤塑板、砖渣材料甲供，除甲供材外其他材料、辅材及工器具由分包单位自行提供。</t>
    </r>
    <r>
      <rPr>
        <sz val="12"/>
        <rFont val="宋体"/>
        <charset val="134"/>
      </rPr>
      <t xml:space="preserve">
</t>
    </r>
    <r>
      <rPr>
        <b/>
        <sz val="12"/>
        <rFont val="宋体"/>
        <charset val="134"/>
      </rPr>
      <t>4、施工的水费、电费由甲方承担(水电接线由乙方负责)。
5、本项目甲方提供2台塔吊，施工过程中塔吊无法覆盖所产生的垂直运输费用由乙方自行考虑并包含在单价中，不另计算。
6、其他费用E：包含机械费、措施费、管理费、利润等除主材、辅材、人工费及税金以外的其他所有费用。</t>
    </r>
    <r>
      <rPr>
        <sz val="12"/>
        <rFont val="宋体"/>
        <charset val="134"/>
      </rPr>
      <t xml:space="preserve">
7、凡本表所列的“包含内容”作为施工完成内容不尽完善，具体内容按图纸要求及施工方案要求；其单价包含为完成该分项工程的所有工序工作，不限于所列内容。
8、除特别注明的，其余分项均为包人工方式。
9、本清单未注明的承包内容，详见合同相应条款。
10</t>
    </r>
    <r>
      <rPr>
        <b/>
        <sz val="12"/>
        <rFont val="宋体"/>
        <charset val="134"/>
      </rPr>
      <t xml:space="preserve">、本工程招标清单编制依据：本次招标清单编制依据：本清单根据玉林南部污水处理厂及中水回用设施建设项目（一期二标段5万吨天）施工图（20250827版）及交楼标准8.23版
</t>
    </r>
  </si>
  <si>
    <t>工程名称：玉林(福绵)节能环保产业园南部工业供水厂建设项目(二期5万吨/天)</t>
  </si>
  <si>
    <r>
      <rPr>
        <b/>
        <sz val="11"/>
        <color theme="1"/>
        <rFont val="宋体"/>
        <charset val="134"/>
      </rPr>
      <t>V型滤池</t>
    </r>
    <r>
      <rPr>
        <b/>
        <sz val="11"/>
        <color rgb="FFFF0000"/>
        <rFont val="宋体"/>
        <charset val="134"/>
      </rPr>
      <t>工程量</t>
    </r>
  </si>
  <si>
    <r>
      <rPr>
        <b/>
        <sz val="11"/>
        <color theme="1"/>
        <rFont val="宋体"/>
        <charset val="134"/>
      </rPr>
      <t>清水池</t>
    </r>
    <r>
      <rPr>
        <b/>
        <sz val="11"/>
        <color rgb="FFFF0000"/>
        <rFont val="宋体"/>
        <charset val="134"/>
      </rPr>
      <t>工程量</t>
    </r>
  </si>
  <si>
    <r>
      <rPr>
        <b/>
        <sz val="11"/>
        <color theme="1"/>
        <rFont val="宋体"/>
        <charset val="134"/>
      </rPr>
      <t>送水泵房</t>
    </r>
    <r>
      <rPr>
        <b/>
        <sz val="11"/>
        <color rgb="FFFF0000"/>
        <rFont val="宋体"/>
        <charset val="134"/>
      </rPr>
      <t>工程量</t>
    </r>
  </si>
  <si>
    <r>
      <rPr>
        <b/>
        <sz val="11"/>
        <color theme="1"/>
        <rFont val="宋体"/>
        <charset val="134"/>
      </rPr>
      <t>网格混凝池及斜管沉淀池</t>
    </r>
    <r>
      <rPr>
        <b/>
        <sz val="11"/>
        <color rgb="FFFF0000"/>
        <rFont val="宋体"/>
        <charset val="134"/>
      </rPr>
      <t>工程量</t>
    </r>
  </si>
  <si>
    <t>水池混凝土浇捣</t>
  </si>
  <si>
    <t>室内回填（三角砂回填）</t>
  </si>
  <si>
    <t>1、三角砂回填压实系数不小于0.95</t>
  </si>
  <si>
    <r>
      <rPr>
        <sz val="11"/>
        <color theme="1"/>
        <rFont val="宋体"/>
        <charset val="134"/>
      </rPr>
      <t>1、螺杆由木工班拆模时负责一次性完成
2、墙两侧打凿深度20mm喇叭孔，采用聚合物水泥砂浆填塞封堵密实，并与结构面平齐，最后涂刷聚合物水泥基防水涂料</t>
    </r>
    <r>
      <rPr>
        <b/>
        <sz val="11"/>
        <color theme="1"/>
        <rFont val="宋体"/>
        <charset val="134"/>
      </rPr>
      <t>（砂浆甲供，防水材料乙供）</t>
    </r>
    <r>
      <rPr>
        <sz val="11"/>
        <color theme="1"/>
        <rFont val="宋体"/>
        <charset val="134"/>
      </rPr>
      <t xml:space="preserve">
3、具体要求按招标图纸及甲方施工方案完成。</t>
    </r>
  </si>
  <si>
    <r>
      <rPr>
        <sz val="11"/>
        <color theme="1"/>
        <rFont val="宋体"/>
        <charset val="134"/>
      </rPr>
      <t>1、孔内注入泡沫填缝剂，墙两侧打凿深度20mm喇叭孔，采用聚合物水泥砂浆填塞封堵密实，并与结构面平齐。</t>
    </r>
    <r>
      <rPr>
        <b/>
        <sz val="11"/>
        <color theme="1"/>
        <rFont val="宋体"/>
        <charset val="134"/>
      </rPr>
      <t>（砂浆甲供，其他材料乙供）</t>
    </r>
    <r>
      <rPr>
        <sz val="11"/>
        <color theme="1"/>
        <rFont val="宋体"/>
        <charset val="134"/>
      </rPr>
      <t xml:space="preserve">
3、具体要求按招标图纸及甲方施工方案完成。</t>
    </r>
  </si>
  <si>
    <t>按实际完成模板面积计算</t>
  </si>
  <si>
    <t>按施工图纸、交楼标准、图纸会审、招标答疑、施工方案、现行相关规范、政府相关要求，包含且不限于以下内容：
1.含人工机械清理整平场地（挖及填）；
2.含木枋、钢管等对砖模的加固、支撑；
3.施工方案：按甲方的施工方案执行。</t>
  </si>
  <si>
    <t>素混凝土找平层</t>
  </si>
  <si>
    <t xml:space="preserve">按施工图纸、交楼标准、图纸会审、招标答疑、施工方案、现行相关规范、政府相关要求，包含且不限于以下内容：
1.200厚C20素砼原浆抹平（二次砼）,达到建筑面层平整度要求(不大于±8mm)
</t>
  </si>
  <si>
    <t>水槽抹灰</t>
  </si>
  <si>
    <t>位置：屋面及雨蓬</t>
  </si>
  <si>
    <r>
      <rPr>
        <sz val="11"/>
        <color theme="1"/>
        <rFont val="宋体"/>
        <charset val="134"/>
      </rPr>
      <t>内墙面涂料油漆</t>
    </r>
    <r>
      <rPr>
        <b/>
        <sz val="11"/>
        <color theme="1"/>
        <rFont val="宋体"/>
        <charset val="134"/>
      </rPr>
      <t>【包工包料】</t>
    </r>
  </si>
  <si>
    <r>
      <rPr>
        <sz val="11"/>
        <color theme="1"/>
        <rFont val="宋体"/>
        <charset val="134"/>
      </rPr>
      <t>按施工图纸、交楼标准、图纸会审、招标答疑、施工方案、现行相关规范、政府相关要求，包含且不限于以下内容：
1、</t>
    </r>
    <r>
      <rPr>
        <b/>
        <sz val="11"/>
        <color theme="1"/>
        <rFont val="宋体"/>
        <charset val="134"/>
      </rPr>
      <t>满刮外墙腻子两遍，砂纸磨平；
2、刷底漆一遍，白色无机墙面漆二遍；</t>
    </r>
    <r>
      <rPr>
        <sz val="11"/>
        <color theme="1"/>
        <rFont val="宋体"/>
        <charset val="134"/>
      </rPr>
      <t xml:space="preserve">
3、品牌要求：采用符合国家标准的工程漆，同时满足甲方要求
4、所有楼层层高＞6米搭设室内双排架及移动操作架（甲方另行搭设），楼层层高≤6米移动操作架/双排架由分包自行搭拆，产生的人工降效不另计价，已包含在此清单价款中。</t>
    </r>
  </si>
  <si>
    <r>
      <rPr>
        <sz val="11"/>
        <color theme="1"/>
        <rFont val="宋体"/>
        <charset val="134"/>
      </rPr>
      <t>天棚面涂料油漆（采用外墙防水材料）</t>
    </r>
    <r>
      <rPr>
        <b/>
        <sz val="11"/>
        <color theme="1"/>
        <rFont val="宋体"/>
        <charset val="134"/>
      </rPr>
      <t>【包工包料】</t>
    </r>
  </si>
  <si>
    <r>
      <rPr>
        <sz val="11"/>
        <color theme="1"/>
        <rFont val="宋体"/>
        <charset val="134"/>
      </rPr>
      <t xml:space="preserve">
按施工图纸、交楼标准、图纸会审、招标答疑、施工方案、现行相关规范、政府相关要求，包含且不限于以下内容：
1</t>
    </r>
    <r>
      <rPr>
        <b/>
        <sz val="11"/>
        <color theme="1"/>
        <rFont val="宋体"/>
        <charset val="134"/>
      </rPr>
      <t>、满刮外墙腻子两遍,砂纸磨平；
2、刷底漆一遍,白色无机墙面漆二遍；</t>
    </r>
    <r>
      <rPr>
        <sz val="11"/>
        <color theme="1"/>
        <rFont val="宋体"/>
        <charset val="134"/>
      </rPr>
      <t xml:space="preserve">
3、品牌要求：采用符合国家标准的工程漆，同时满足甲方要求
3.所有楼层层高＞6米，利用原满堂模板支撑架体，木工班组拆除模板及顶层水平杆后，乙方自行负责在模板支撑架体上搭设操作平台，甲方不再另行提供操作架。
4、楼层层高≤6米，扣件式操作平台由乙方负责搭拆施工天花/顶棚涂料，操作平台搭设须符合规范要求，产生的人工降效不另计价，已包含在此清单价款中。</t>
    </r>
  </si>
  <si>
    <r>
      <rPr>
        <sz val="11"/>
        <color theme="1"/>
        <rFont val="宋体"/>
        <charset val="134"/>
      </rPr>
      <t>涂料踢脚线（150高）</t>
    </r>
    <r>
      <rPr>
        <b/>
        <sz val="11"/>
        <color theme="1"/>
        <rFont val="宋体"/>
        <charset val="134"/>
      </rPr>
      <t>（包工包料）</t>
    </r>
  </si>
  <si>
    <t>按施工图纸、交楼标准、图纸会审、招标答疑、施工方案、现行相关规范、政府相关要求，包含且不限于以下内容：
1.黑色外墙涂料二遍
2.满刮外墙腻子二道,砂纸磨平
3.具体做法详见招标图纸</t>
  </si>
  <si>
    <t>按广东2018定额计量规则按米计算</t>
  </si>
  <si>
    <t>按施工图纸、交楼标准、图纸会审、招标答疑、施工方案、现行相关规范、政府相关要求，包含且不限于以下内容：
1、页岩多孔砖砌泥斗
2、表面砂浆抹平,厚度20mm(抹灰前应先铺设φ1.0mm)(15mmx15mm)镀锌钢丝网）
3、具体做法详见招标图纸</t>
  </si>
  <si>
    <t>细石混凝土面层坡道</t>
  </si>
  <si>
    <t>1、坡道面层详见国标12J003，页面A7/2A
2、60厚C20细石混凝土面层留出横向凹槽，深15素水泥浆结合层一道(内掺建筑胶)
3、100厚C20混凝士
4、300厚粒径10~40卵石(砾石)灌M2.5混合砂浆(或300厚3:7灰土分两步夯实)，宽出面层300
5、素土夯实
6、具体做法详见招标图纸</t>
  </si>
  <si>
    <t>水泥抹面台阶</t>
  </si>
  <si>
    <t>1、坡道面层详见国标12J003，页面B1/2A
2、20厚1:2水泥砂浆抹面赶光素水泥蒙一道(内掺建筑胶)
3、60厚C20混凝土，台阶面向外坡1%
4、300厚粒径10-40即石(砾石)M2.5混合砂浆分两步灌注，宽出面层100
5、素土夯实
6、具体做法详见招标图纸</t>
  </si>
  <si>
    <t>楼梯步级砂浆压光(平面带防滑条压纹)</t>
  </si>
  <si>
    <r>
      <rPr>
        <sz val="11"/>
        <color theme="1"/>
        <rFont val="宋体"/>
        <charset val="134"/>
      </rPr>
      <t>按施工图纸、交楼标准、图纸会审、招标答疑、施工方案、现行相关规范、政府相关要求，包含且不限于以下内容：
1.基层清理、刷基层处理剂、砂浆找平压光等工序；
2.含楼梯间挡水线；</t>
    </r>
    <r>
      <rPr>
        <b/>
        <sz val="11"/>
        <color theme="1"/>
        <rFont val="宋体"/>
        <charset val="134"/>
      </rPr>
      <t>（瓷砖包工包料）</t>
    </r>
    <r>
      <rPr>
        <sz val="11"/>
        <color theme="1"/>
        <rFont val="宋体"/>
        <charset val="134"/>
      </rPr>
      <t xml:space="preserve">
3.含楼梯做防滑条压纹。</t>
    </r>
  </si>
  <si>
    <t>柱脚砼包裹</t>
  </si>
  <si>
    <t>按施工图纸、交楼标准、图纸会审、招标答疑、施工方案、现行相关规范、政府相关要求，包含且不限于以下内容：
1、C40二次灌浆层
2、C15素砼砼包裹</t>
  </si>
  <si>
    <t>预留孔洞混凝土浇灌</t>
  </si>
  <si>
    <t>1、预留孔洞
2、C30微膨胀混凝土二次浇灌</t>
  </si>
  <si>
    <t>混凝土浇捣</t>
  </si>
  <si>
    <t>1、部位总配水渠、浓缩污泥池、脱水车间及加药间、设备基础改造工程
2、混凝土浇捣
3、表面凿毛深度不得小于20MM</t>
  </si>
  <si>
    <t>水泥混凝土路面</t>
  </si>
  <si>
    <t>1、含路基平整、碎石垫层、水泥稳定碎石层、路面浇筑及压光、拉毛、切缝、油膏灌缝等
2.新、旧路接驳大样图详见图纸做法
3.具体做法详见招标图纸</t>
  </si>
  <si>
    <t>园林工程</t>
  </si>
  <si>
    <t>人行铺装做法（一）-混凝土路面</t>
  </si>
  <si>
    <t>按施工图纸、交楼标准、图纸会审、招标答疑、施工方案、现行相关规范、政府相关要求，包含且不限于以下内容：
1、含素土夯实、水泥稳定碎石层、路面浇筑及找平、拉毛、切缝、油膏灌缝等</t>
  </si>
  <si>
    <t>人行铺装做法（二）-混凝土路面</t>
  </si>
  <si>
    <t>植草砖停车位</t>
  </si>
  <si>
    <r>
      <rPr>
        <sz val="11"/>
        <color theme="1"/>
        <rFont val="宋体"/>
        <charset val="134"/>
      </rPr>
      <t>按施工图纸、交楼标准、图纸会审、招标答疑、施工方案、现行相关规范、政府相关要求，包含且不限于以下内容：
1、80厚嵌草砖孔内填种植土拌草子种子
2、30厚1∶1黄土粗砂</t>
    </r>
    <r>
      <rPr>
        <b/>
        <sz val="11"/>
        <rFont val="宋体"/>
        <charset val="134"/>
      </rPr>
      <t>（甲供）</t>
    </r>
    <r>
      <rPr>
        <sz val="11"/>
        <color theme="1"/>
        <rFont val="宋体"/>
        <charset val="134"/>
      </rPr>
      <t xml:space="preserve">
3、100厚1:6水泥豆石(无砂)大孔混凝土
4、300厚天然级配碎砾石,密实度≥95%</t>
    </r>
    <r>
      <rPr>
        <b/>
        <sz val="11"/>
        <color theme="1"/>
        <rFont val="宋体"/>
        <charset val="134"/>
      </rPr>
      <t>（级配碎石甲供）</t>
    </r>
    <r>
      <rPr>
        <sz val="11"/>
        <color theme="1"/>
        <rFont val="宋体"/>
        <charset val="134"/>
      </rPr>
      <t xml:space="preserve">
5、素土夯实，90%&lt;压实度&lt;93%</t>
    </r>
  </si>
  <si>
    <t>除砂、碎石材料甲供外，其余均由乙方包工包料完成</t>
  </si>
  <si>
    <t>工作内容：包含植筋胶植筋（植筋胶乙供）、测量、放线、定位、钻孔、清孔、植筋、固化等工序。</t>
  </si>
  <si>
    <r>
      <t>备注：
1、以上工程量均为暂定工程量。
2、以上价格为含税价，开具票面</t>
    </r>
    <r>
      <rPr>
        <u/>
        <sz val="12"/>
        <rFont val="宋体"/>
        <charset val="134"/>
      </rPr>
      <t xml:space="preserve">    %</t>
    </r>
    <r>
      <rPr>
        <sz val="12"/>
        <rFont val="宋体"/>
        <charset val="134"/>
      </rPr>
      <t xml:space="preserve">增值税专用发票（税率按国家政策执行，造价随之调整）。
</t>
    </r>
    <r>
      <rPr>
        <b/>
        <sz val="12"/>
        <rFont val="宋体"/>
        <charset val="134"/>
      </rPr>
      <t>3、本工程混凝土、水泥、砂、砖、钢（丝）筋网片、抹灰挂网、聚酯无纺布、砂浆、108 胶水、沥青、耐候胶、专用粘结剂、外墙砖、石粉、碎石材料甲供，除甲供材外其他材料、辅材及工器具由分包单位自行提供。</t>
    </r>
    <r>
      <rPr>
        <sz val="12"/>
        <rFont val="宋体"/>
        <charset val="134"/>
      </rPr>
      <t xml:space="preserve">
</t>
    </r>
    <r>
      <rPr>
        <b/>
        <sz val="12"/>
        <rFont val="宋体"/>
        <charset val="134"/>
      </rPr>
      <t>4、施工的水费、电费由甲方承担(水电接线由乙方负责)。
5、本工程甲方仅提供混凝土输送泵、挖机、炮机，材料转运所需的其他机械由乙方自行提供，相关费用已包含在综合单价内，不另计取费用
6、其他费用D：包含辅材、机械费、措施费、管理费、利润等除主材、人工费及税金以外的其他所有费用。</t>
    </r>
    <r>
      <rPr>
        <sz val="12"/>
        <rFont val="宋体"/>
        <charset val="134"/>
      </rPr>
      <t xml:space="preserve">
7、凡本表所列的“包含内容”作为施工完成内容不尽完善，具体内容按图纸要求及施工方案要求；其单价包含为完成该分项工程的所有工序工作，不限于所列内容。
8、除特别注明的，其余分项均为包人工方式。
9、本清单未注明的承包内容，详见合同相应条款。
</t>
    </r>
    <r>
      <rPr>
        <b/>
        <sz val="12"/>
        <rFont val="宋体"/>
        <charset val="134"/>
      </rPr>
      <t>10、本工程招标清单编制依据：本清单根据玉林(福绵)节能环保产业园南部工业供水厂建设项目(二期5万吨/天)20250425版编制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</si>
</sst>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s>
  <fonts count="44">
    <font>
      <sz val="9"/>
      <color theme="1"/>
      <name val="??"/>
      <charset val="134"/>
      <scheme val="minor"/>
    </font>
    <font>
      <sz val="9"/>
      <name val="宋体"/>
      <charset val="134"/>
    </font>
    <font>
      <b/>
      <sz val="10"/>
      <name val="宋体"/>
      <charset val="134"/>
    </font>
    <font>
      <b/>
      <sz val="9"/>
      <name val="宋体"/>
      <charset val="134"/>
    </font>
    <font>
      <sz val="11"/>
      <color rgb="FFFF0000"/>
      <name val="宋体"/>
      <charset val="134"/>
    </font>
    <font>
      <b/>
      <sz val="20"/>
      <name val="宋体"/>
      <charset val="134"/>
    </font>
    <font>
      <b/>
      <sz val="11"/>
      <name val="宋体"/>
      <charset val="134"/>
    </font>
    <font>
      <b/>
      <sz val="11"/>
      <color theme="1"/>
      <name val="宋体"/>
      <charset val="134"/>
    </font>
    <font>
      <sz val="11"/>
      <color theme="1"/>
      <name val="宋体"/>
      <charset val="134"/>
    </font>
    <font>
      <sz val="11"/>
      <name val="宋体"/>
      <charset val="134"/>
    </font>
    <font>
      <strike/>
      <u val="double"/>
      <sz val="11"/>
      <name val="宋体"/>
      <charset val="134"/>
    </font>
    <font>
      <sz val="12"/>
      <name val="宋体"/>
      <charset val="134"/>
    </font>
    <font>
      <sz val="9"/>
      <name val="??"/>
      <charset val="134"/>
      <scheme val="minor"/>
    </font>
    <font>
      <b/>
      <sz val="9"/>
      <name val="??"/>
      <charset val="134"/>
      <scheme val="minor"/>
    </font>
    <font>
      <b/>
      <sz val="14"/>
      <name val="??"/>
      <charset val="134"/>
      <scheme val="minor"/>
    </font>
    <font>
      <sz val="11"/>
      <name val="??"/>
      <charset val="134"/>
      <scheme val="minor"/>
    </font>
    <font>
      <sz val="11"/>
      <color rgb="FFFF0000"/>
      <name val="??"/>
      <charset val="134"/>
      <scheme val="minor"/>
    </font>
    <font>
      <b/>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sz val="11"/>
      <color rgb="FFFF0000"/>
      <name val="宋体"/>
      <charset val="134"/>
    </font>
    <font>
      <b/>
      <u/>
      <sz val="11"/>
      <name val="宋体"/>
      <charset val="134"/>
    </font>
    <font>
      <u/>
      <sz val="12"/>
      <name val="宋体"/>
      <charset val="134"/>
    </font>
    <font>
      <b/>
      <sz val="12"/>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4" borderId="9" applyNumberFormat="0" applyAlignment="0" applyProtection="0">
      <alignment vertical="center"/>
    </xf>
    <xf numFmtId="0" fontId="28" fillId="5" borderId="10" applyNumberFormat="0" applyAlignment="0" applyProtection="0">
      <alignment vertical="center"/>
    </xf>
    <xf numFmtId="0" fontId="29" fillId="5" borderId="9" applyNumberFormat="0" applyAlignment="0" applyProtection="0">
      <alignment vertical="center"/>
    </xf>
    <xf numFmtId="0" fontId="30" fillId="6"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cellStyleXfs>
  <cellXfs count="115">
    <xf numFmtId="0" fontId="0" fillId="0" borderId="0" xfId="0" applyAlignment="1"/>
    <xf numFmtId="0" fontId="1" fillId="0" borderId="0" xfId="49" applyFont="1" applyFill="1"/>
    <xf numFmtId="0" fontId="2" fillId="0" borderId="0" xfId="49" applyFont="1" applyFill="1" applyAlignment="1">
      <alignment vertical="center"/>
    </xf>
    <xf numFmtId="0" fontId="3" fillId="0" borderId="0" xfId="49" applyFont="1" applyFill="1" applyAlignment="1">
      <alignment horizontal="center"/>
    </xf>
    <xf numFmtId="0" fontId="1" fillId="0" borderId="0" xfId="49" applyFont="1" applyFill="1" applyAlignment="1">
      <alignment horizontal="center"/>
    </xf>
    <xf numFmtId="0" fontId="1" fillId="2" borderId="0" xfId="49" applyFont="1" applyFill="1" applyAlignment="1">
      <alignment horizontal="center"/>
    </xf>
    <xf numFmtId="0" fontId="3" fillId="0" borderId="0" xfId="49" applyFont="1" applyFill="1" applyAlignment="1">
      <alignment horizontal="center" vertical="center"/>
    </xf>
    <xf numFmtId="0" fontId="1" fillId="0" borderId="0" xfId="49" applyFont="1" applyFill="1" applyAlignment="1">
      <alignment horizontal="left"/>
    </xf>
    <xf numFmtId="176" fontId="1" fillId="0" borderId="0" xfId="49" applyNumberFormat="1" applyFont="1" applyFill="1" applyAlignment="1">
      <alignment horizontal="center"/>
    </xf>
    <xf numFmtId="0" fontId="4" fillId="0" borderId="0" xfId="49" applyFont="1" applyFill="1" applyAlignment="1">
      <alignment vertical="center"/>
    </xf>
    <xf numFmtId="0" fontId="5" fillId="0" borderId="0" xfId="49" applyFont="1" applyFill="1" applyAlignment="1">
      <alignment horizontal="center" vertical="center" wrapText="1"/>
    </xf>
    <xf numFmtId="0" fontId="5" fillId="0" borderId="0" xfId="49" applyFont="1" applyFill="1" applyAlignment="1">
      <alignment horizontal="left" vertical="center" wrapText="1"/>
    </xf>
    <xf numFmtId="176" fontId="5" fillId="0" borderId="0" xfId="49" applyNumberFormat="1" applyFont="1" applyFill="1" applyAlignment="1">
      <alignment horizontal="center" vertical="center" wrapText="1"/>
    </xf>
    <xf numFmtId="0" fontId="6" fillId="0" borderId="0" xfId="49" applyFont="1" applyFill="1" applyAlignment="1">
      <alignment horizontal="left" vertical="center" wrapText="1"/>
    </xf>
    <xf numFmtId="0" fontId="6" fillId="0" borderId="0" xfId="49" applyFont="1" applyFill="1" applyAlignment="1">
      <alignment horizontal="center" vertical="center" wrapText="1"/>
    </xf>
    <xf numFmtId="176" fontId="6" fillId="0" borderId="0" xfId="49" applyNumberFormat="1" applyFont="1" applyFill="1" applyAlignment="1">
      <alignment horizontal="center" vertical="center" wrapText="1"/>
    </xf>
    <xf numFmtId="0" fontId="7" fillId="2" borderId="1" xfId="49" applyFont="1" applyFill="1" applyBorder="1" applyAlignment="1">
      <alignment horizontal="center" vertical="center" wrapText="1"/>
    </xf>
    <xf numFmtId="176" fontId="7" fillId="2" borderId="2" xfId="49" applyNumberFormat="1" applyFont="1" applyFill="1" applyBorder="1" applyAlignment="1">
      <alignment horizontal="center" vertical="center" wrapText="1"/>
    </xf>
    <xf numFmtId="176" fontId="7" fillId="2" borderId="3" xfId="49" applyNumberFormat="1" applyFont="1" applyFill="1" applyBorder="1" applyAlignment="1">
      <alignment horizontal="center" vertical="center" wrapText="1"/>
    </xf>
    <xf numFmtId="0" fontId="7" fillId="2" borderId="1" xfId="49" applyFont="1" applyFill="1" applyBorder="1" applyAlignment="1">
      <alignment horizontal="left" vertical="center" wrapText="1"/>
    </xf>
    <xf numFmtId="176" fontId="7" fillId="2" borderId="1" xfId="49"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1" xfId="49" applyFont="1" applyFill="1" applyBorder="1" applyAlignment="1">
      <alignment horizontal="left" vertical="center" wrapText="1"/>
    </xf>
    <xf numFmtId="0" fontId="9" fillId="2" borderId="2" xfId="49" applyFont="1" applyFill="1" applyBorder="1" applyAlignment="1">
      <alignment horizontal="left" vertical="center" wrapText="1"/>
    </xf>
    <xf numFmtId="176" fontId="8" fillId="2" borderId="1" xfId="49" applyNumberFormat="1" applyFont="1" applyFill="1" applyBorder="1" applyAlignment="1">
      <alignment horizontal="center" vertical="center" wrapText="1"/>
    </xf>
    <xf numFmtId="0" fontId="8" fillId="2" borderId="1" xfId="49" applyFont="1" applyFill="1" applyBorder="1" applyAlignment="1">
      <alignment vertical="center" wrapText="1"/>
    </xf>
    <xf numFmtId="0" fontId="8" fillId="2" borderId="2" xfId="49" applyFont="1" applyFill="1" applyBorder="1" applyAlignment="1">
      <alignment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176" fontId="8" fillId="0" borderId="1" xfId="49"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6" fontId="9" fillId="2" borderId="1" xfId="49" applyNumberFormat="1" applyFont="1" applyFill="1" applyBorder="1" applyAlignment="1">
      <alignment horizontal="center" vertical="center" wrapText="1"/>
    </xf>
    <xf numFmtId="0" fontId="8" fillId="2" borderId="4" xfId="49" applyFont="1" applyFill="1" applyBorder="1" applyAlignment="1">
      <alignment horizontal="left" vertical="center" wrapText="1"/>
    </xf>
    <xf numFmtId="0" fontId="8" fillId="2" borderId="1" xfId="49" applyFont="1" applyFill="1" applyBorder="1" applyAlignment="1">
      <alignment horizontal="center" vertical="center"/>
    </xf>
    <xf numFmtId="176" fontId="8" fillId="2" borderId="2" xfId="49" applyNumberFormat="1" applyFont="1" applyFill="1" applyBorder="1" applyAlignment="1">
      <alignment horizontal="center"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6" fillId="2" borderId="1" xfId="49"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7" fontId="8" fillId="2" borderId="1" xfId="49" applyNumberFormat="1" applyFont="1" applyFill="1" applyBorder="1" applyAlignment="1">
      <alignment horizontal="center" vertical="center" wrapText="1"/>
    </xf>
    <xf numFmtId="176" fontId="10" fillId="2" borderId="1" xfId="49" applyNumberFormat="1" applyFont="1" applyFill="1" applyBorder="1" applyAlignment="1">
      <alignment horizontal="center" vertical="center" wrapText="1"/>
    </xf>
    <xf numFmtId="176" fontId="7" fillId="2" borderId="1" xfId="49" applyNumberFormat="1" applyFont="1" applyFill="1" applyBorder="1" applyAlignment="1">
      <alignment horizontal="center" vertical="center"/>
    </xf>
    <xf numFmtId="176" fontId="6" fillId="2" borderId="1" xfId="49" applyNumberFormat="1" applyFont="1" applyFill="1" applyBorder="1" applyAlignment="1">
      <alignment horizontal="center" vertical="center"/>
    </xf>
    <xf numFmtId="0" fontId="7" fillId="2" borderId="2" xfId="49" applyFont="1" applyFill="1" applyBorder="1" applyAlignment="1">
      <alignment horizontal="center" vertical="center" wrapText="1"/>
    </xf>
    <xf numFmtId="0" fontId="4" fillId="0" borderId="0" xfId="49" applyFont="1" applyFill="1" applyAlignment="1">
      <alignment horizontal="center" vertical="center"/>
    </xf>
    <xf numFmtId="0" fontId="4" fillId="0" borderId="0" xfId="49" applyFont="1" applyFill="1" applyAlignment="1">
      <alignment horizontal="left" vertical="center"/>
    </xf>
    <xf numFmtId="0" fontId="8" fillId="2" borderId="5" xfId="49" applyFont="1" applyFill="1" applyBorder="1" applyAlignment="1">
      <alignment horizontal="justify" vertical="center" wrapText="1"/>
    </xf>
    <xf numFmtId="0" fontId="4" fillId="0" borderId="0" xfId="49" applyFont="1" applyFill="1" applyAlignment="1">
      <alignment horizontal="left" vertical="center" wrapText="1"/>
    </xf>
    <xf numFmtId="0" fontId="4" fillId="2" borderId="0" xfId="49" applyFont="1" applyFill="1" applyAlignment="1">
      <alignment horizontal="center" vertical="center"/>
    </xf>
    <xf numFmtId="0" fontId="4" fillId="0" borderId="0" xfId="49" applyFont="1" applyFill="1" applyAlignment="1">
      <alignment horizontal="center" vertical="center" wrapText="1"/>
    </xf>
    <xf numFmtId="0" fontId="6" fillId="0" borderId="1" xfId="49" applyFont="1" applyFill="1" applyBorder="1" applyAlignment="1">
      <alignment horizontal="left" vertical="center" wrapText="1"/>
    </xf>
    <xf numFmtId="0" fontId="8" fillId="2" borderId="1" xfId="0" applyFont="1" applyFill="1" applyBorder="1" applyAlignment="1">
      <alignment vertical="center" wrapText="1"/>
    </xf>
    <xf numFmtId="176" fontId="6" fillId="0" borderId="1" xfId="49" applyNumberFormat="1" applyFont="1" applyFill="1" applyBorder="1" applyAlignment="1">
      <alignment horizontal="center" vertical="center" wrapText="1"/>
    </xf>
    <xf numFmtId="176" fontId="9" fillId="2" borderId="2" xfId="49" applyNumberFormat="1" applyFont="1" applyFill="1" applyBorder="1" applyAlignment="1">
      <alignment horizontal="center" vertical="center" wrapText="1"/>
    </xf>
    <xf numFmtId="176" fontId="9" fillId="2" borderId="5" xfId="49" applyNumberFormat="1" applyFont="1" applyFill="1" applyBorder="1" applyAlignment="1">
      <alignment horizontal="center" vertical="center" wrapText="1"/>
    </xf>
    <xf numFmtId="176" fontId="9" fillId="2" borderId="4" xfId="49" applyNumberFormat="1" applyFont="1" applyFill="1" applyBorder="1" applyAlignment="1">
      <alignment horizontal="center" vertical="center" wrapText="1"/>
    </xf>
    <xf numFmtId="0" fontId="6" fillId="2" borderId="1" xfId="49" applyFont="1" applyFill="1" applyBorder="1" applyAlignment="1">
      <alignment horizontal="left" vertical="center"/>
    </xf>
    <xf numFmtId="0" fontId="11" fillId="2" borderId="1" xfId="49" applyFont="1" applyFill="1" applyBorder="1" applyAlignment="1">
      <alignment horizontal="left" vertical="center" wrapText="1"/>
    </xf>
    <xf numFmtId="0" fontId="11" fillId="2" borderId="1" xfId="49" applyFont="1" applyFill="1" applyBorder="1" applyAlignment="1">
      <alignment horizontal="left" vertical="center"/>
    </xf>
    <xf numFmtId="0" fontId="9" fillId="0" borderId="0" xfId="49" applyFont="1" applyFill="1" applyAlignment="1">
      <alignment vertical="center"/>
    </xf>
    <xf numFmtId="178" fontId="6" fillId="0" borderId="0" xfId="49" applyNumberFormat="1" applyFont="1" applyFill="1" applyAlignment="1">
      <alignment horizontal="center" vertical="center" wrapText="1"/>
    </xf>
    <xf numFmtId="0" fontId="6" fillId="0" borderId="1" xfId="49" applyFont="1" applyFill="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6" fillId="0" borderId="3"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2" xfId="49" applyFont="1" applyFill="1" applyBorder="1" applyAlignment="1">
      <alignment horizontal="left" vertical="center" wrapText="1"/>
    </xf>
    <xf numFmtId="176" fontId="9" fillId="0" borderId="1" xfId="49" applyNumberFormat="1" applyFont="1" applyFill="1" applyBorder="1" applyAlignment="1">
      <alignment horizontal="center" vertical="center" wrapText="1"/>
    </xf>
    <xf numFmtId="0" fontId="9" fillId="0" borderId="1" xfId="49" applyFont="1" applyFill="1" applyBorder="1" applyAlignment="1">
      <alignment vertical="center" wrapText="1"/>
    </xf>
    <xf numFmtId="0" fontId="9" fillId="0" borderId="2" xfId="49" applyFont="1" applyFill="1" applyBorder="1" applyAlignment="1">
      <alignment horizontal="justify" vertical="center" wrapText="1"/>
    </xf>
    <xf numFmtId="0" fontId="9" fillId="0" borderId="2" xfId="49" applyFont="1" applyFill="1" applyBorder="1" applyAlignment="1">
      <alignment horizontal="center" vertical="center" wrapText="1"/>
    </xf>
    <xf numFmtId="0" fontId="9" fillId="0" borderId="5" xfId="49" applyFont="1" applyFill="1" applyBorder="1" applyAlignment="1">
      <alignment horizontal="justify" vertical="center" wrapText="1"/>
    </xf>
    <xf numFmtId="0" fontId="9" fillId="0" borderId="5"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left" vertical="center" wrapText="1"/>
    </xf>
    <xf numFmtId="177" fontId="9"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9" fillId="0" borderId="0" xfId="49" applyFont="1" applyFill="1" applyAlignment="1">
      <alignment horizontal="center" vertical="center"/>
    </xf>
    <xf numFmtId="0" fontId="9" fillId="0" borderId="0" xfId="49" applyFont="1" applyFill="1" applyAlignment="1">
      <alignment horizontal="left" vertical="center"/>
    </xf>
    <xf numFmtId="0" fontId="9" fillId="0" borderId="1" xfId="49" applyFont="1" applyFill="1" applyBorder="1" applyAlignment="1">
      <alignment horizontal="justify" vertical="center" wrapText="1"/>
    </xf>
    <xf numFmtId="0" fontId="9" fillId="0" borderId="0" xfId="49" applyFont="1" applyFill="1" applyAlignment="1">
      <alignment horizontal="left" vertical="center" wrapText="1"/>
    </xf>
    <xf numFmtId="0" fontId="9" fillId="0" borderId="0" xfId="49" applyFont="1" applyFill="1" applyAlignment="1">
      <alignment horizontal="center" vertical="center" wrapText="1"/>
    </xf>
    <xf numFmtId="0" fontId="9" fillId="0" borderId="1" xfId="0" applyFont="1" applyFill="1" applyBorder="1" applyAlignment="1">
      <alignment vertical="center" wrapText="1"/>
    </xf>
    <xf numFmtId="0" fontId="9" fillId="0" borderId="4" xfId="49" applyFont="1" applyFill="1" applyBorder="1" applyAlignment="1">
      <alignment horizontal="left" vertical="center" wrapText="1"/>
    </xf>
    <xf numFmtId="0" fontId="9" fillId="0" borderId="1" xfId="49" applyFont="1" applyFill="1" applyBorder="1" applyAlignment="1">
      <alignment horizontal="center" vertical="center"/>
    </xf>
    <xf numFmtId="0" fontId="9" fillId="0" borderId="1" xfId="49" applyFont="1" applyFill="1" applyBorder="1" applyAlignment="1">
      <alignment horizontal="justify" vertical="center"/>
    </xf>
    <xf numFmtId="176" fontId="9" fillId="0" borderId="2" xfId="49"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11" fillId="0" borderId="1" xfId="49" applyFont="1" applyFill="1" applyBorder="1" applyAlignment="1">
      <alignment horizontal="left" vertical="center" wrapText="1"/>
    </xf>
    <xf numFmtId="0" fontId="11" fillId="0" borderId="1" xfId="49" applyFont="1" applyFill="1" applyBorder="1" applyAlignment="1">
      <alignment horizontal="left" vertical="center"/>
    </xf>
    <xf numFmtId="176" fontId="6" fillId="0" borderId="1" xfId="49" applyNumberFormat="1" applyFont="1" applyFill="1" applyBorder="1" applyAlignment="1">
      <alignment horizontal="center" vertical="center"/>
    </xf>
    <xf numFmtId="0" fontId="6" fillId="0" borderId="1" xfId="49" applyFont="1" applyFill="1" applyBorder="1" applyAlignment="1">
      <alignment horizontal="left" vertical="center"/>
    </xf>
    <xf numFmtId="0" fontId="12" fillId="0" borderId="0" xfId="49" applyFont="1" applyAlignment="1">
      <alignment horizontal="center" vertical="center"/>
    </xf>
    <xf numFmtId="0" fontId="13" fillId="0" borderId="0" xfId="49" applyFont="1" applyAlignment="1">
      <alignment horizontal="center" vertical="center"/>
    </xf>
    <xf numFmtId="0" fontId="14" fillId="0" borderId="0" xfId="49" applyFont="1" applyAlignment="1">
      <alignment horizontal="center" vertical="center"/>
    </xf>
    <xf numFmtId="0" fontId="15" fillId="0" borderId="2" xfId="49" applyFont="1" applyBorder="1" applyAlignment="1">
      <alignment horizontal="center" vertical="center"/>
    </xf>
    <xf numFmtId="0" fontId="15" fillId="0" borderId="2" xfId="49" applyFont="1" applyBorder="1" applyAlignment="1">
      <alignment horizontal="center" vertical="center" wrapText="1"/>
    </xf>
    <xf numFmtId="0" fontId="15" fillId="0" borderId="1" xfId="49" applyFont="1" applyBorder="1" applyAlignment="1">
      <alignment horizontal="center" vertical="center"/>
    </xf>
    <xf numFmtId="0" fontId="15" fillId="0" borderId="1" xfId="49" applyFont="1" applyBorder="1" applyAlignment="1">
      <alignment horizontal="center" vertical="center" wrapText="1"/>
    </xf>
    <xf numFmtId="0" fontId="16" fillId="0" borderId="1" xfId="49" applyFont="1" applyBorder="1" applyAlignment="1">
      <alignment horizontal="center" vertical="center"/>
    </xf>
    <xf numFmtId="0" fontId="17" fillId="0" borderId="1"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colors>
    <mruColors>
      <color rgb="00FFC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B4" sqref="B4"/>
    </sheetView>
  </sheetViews>
  <sheetFormatPr defaultColWidth="12" defaultRowHeight="27" customHeight="1" outlineLevelRow="4" outlineLevelCol="5"/>
  <cols>
    <col min="1" max="1" width="10.7142857142857" style="106" customWidth="1"/>
    <col min="2" max="2" width="40.4285714285714" style="106" customWidth="1"/>
    <col min="3" max="3" width="17.2857142857143" style="106" customWidth="1"/>
    <col min="4" max="4" width="15.1428571428571" style="106" customWidth="1"/>
    <col min="5" max="5" width="18" style="106" customWidth="1"/>
    <col min="6" max="6" width="24.1428571428571" style="106" customWidth="1"/>
    <col min="7" max="16364" width="12" style="106" customWidth="1"/>
    <col min="16365" max="16384" width="12" style="106"/>
  </cols>
  <sheetData>
    <row r="1" s="106" customFormat="1" ht="48" customHeight="1" spans="1:6">
      <c r="A1" s="108" t="s">
        <v>0</v>
      </c>
      <c r="B1" s="108"/>
      <c r="C1" s="108"/>
      <c r="D1" s="108"/>
      <c r="E1" s="108"/>
      <c r="F1" s="108"/>
    </row>
    <row r="2" s="106" customFormat="1" ht="60" customHeight="1" spans="1:6">
      <c r="A2" s="109" t="s">
        <v>1</v>
      </c>
      <c r="B2" s="109" t="s">
        <v>2</v>
      </c>
      <c r="C2" s="110" t="s">
        <v>3</v>
      </c>
      <c r="D2" s="110" t="s">
        <v>4</v>
      </c>
      <c r="E2" s="110" t="s">
        <v>5</v>
      </c>
      <c r="F2" s="111" t="s">
        <v>6</v>
      </c>
    </row>
    <row r="3" s="106" customFormat="1" ht="47" customHeight="1" spans="1:6">
      <c r="A3" s="111">
        <v>1</v>
      </c>
      <c r="B3" s="112" t="s">
        <v>7</v>
      </c>
      <c r="C3" s="113"/>
      <c r="D3" s="113"/>
      <c r="E3" s="113"/>
      <c r="F3" s="112"/>
    </row>
    <row r="4" s="106" customFormat="1" ht="47" customHeight="1" spans="1:6">
      <c r="A4" s="111">
        <v>2</v>
      </c>
      <c r="B4" s="112" t="s">
        <v>8</v>
      </c>
      <c r="C4" s="113"/>
      <c r="D4" s="113"/>
      <c r="E4" s="113"/>
      <c r="F4" s="112"/>
    </row>
    <row r="5" s="107" customFormat="1" ht="49" customHeight="1" spans="1:6">
      <c r="A5" s="111">
        <v>3</v>
      </c>
      <c r="B5" s="114" t="s">
        <v>9</v>
      </c>
      <c r="C5" s="114"/>
      <c r="D5" s="114"/>
      <c r="E5" s="114"/>
      <c r="F5" s="114"/>
    </row>
  </sheetData>
  <mergeCells count="1">
    <mergeCell ref="A1:F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94"/>
  <sheetViews>
    <sheetView view="pageBreakPreview" zoomScale="90" zoomScaleNormal="100" workbookViewId="0">
      <pane ySplit="3" topLeftCell="A67" activePane="bottomLeft" state="frozen"/>
      <selection/>
      <selection pane="bottomLeft" activeCell="B97" sqref="B97"/>
    </sheetView>
  </sheetViews>
  <sheetFormatPr defaultColWidth="9" defaultRowHeight="13.5"/>
  <cols>
    <col min="1" max="1" width="8.71428571428571" style="1" customWidth="1"/>
    <col min="2" max="2" width="25.5714285714286" style="7" customWidth="1"/>
    <col min="3" max="3" width="51.7142857142857" style="7" customWidth="1"/>
    <col min="4" max="4" width="16.8571428571429" style="4" customWidth="1"/>
    <col min="5" max="5" width="5.71428571428571" style="1" customWidth="1"/>
    <col min="6" max="6" width="12.7142857142857" style="8" customWidth="1"/>
    <col min="7" max="7" width="11.7142857142857" style="8" customWidth="1" outlineLevel="1"/>
    <col min="8" max="11" width="10.8571428571429" style="8" customWidth="1" outlineLevel="1"/>
    <col min="12" max="12" width="10.4666666666667" style="8" customWidth="1" outlineLevel="1"/>
    <col min="13" max="15" width="8.57142857142857" style="8" customWidth="1"/>
    <col min="16" max="18" width="10.3142857142857" style="8" customWidth="1"/>
    <col min="19" max="19" width="11.7142857142857" style="7" customWidth="1"/>
    <col min="20" max="20" width="42.8571428571429" style="67" customWidth="1"/>
    <col min="21" max="16384" width="9" style="1"/>
  </cols>
  <sheetData>
    <row r="1" s="1" customFormat="1" ht="25" customHeight="1" spans="1:20">
      <c r="A1" s="10" t="s">
        <v>10</v>
      </c>
      <c r="B1" s="11"/>
      <c r="C1" s="11"/>
      <c r="D1" s="10"/>
      <c r="E1" s="10"/>
      <c r="F1" s="12"/>
      <c r="G1" s="12"/>
      <c r="H1" s="12"/>
      <c r="I1" s="12"/>
      <c r="J1" s="12"/>
      <c r="K1" s="12"/>
      <c r="L1" s="12"/>
      <c r="M1" s="12"/>
      <c r="N1" s="12"/>
      <c r="O1" s="12"/>
      <c r="P1" s="12"/>
      <c r="Q1" s="12"/>
      <c r="R1" s="12"/>
      <c r="S1" s="11"/>
      <c r="T1" s="67"/>
    </row>
    <row r="2" s="2" customFormat="1" ht="20" customHeight="1" spans="1:20">
      <c r="A2" s="13" t="s">
        <v>11</v>
      </c>
      <c r="B2" s="13"/>
      <c r="C2" s="13"/>
      <c r="D2" s="14"/>
      <c r="E2" s="13"/>
      <c r="F2" s="15"/>
      <c r="G2" s="68"/>
      <c r="H2" s="68"/>
      <c r="I2" s="68"/>
      <c r="J2" s="68"/>
      <c r="K2" s="15"/>
      <c r="L2" s="15"/>
      <c r="M2" s="15"/>
      <c r="N2" s="15"/>
      <c r="O2" s="15"/>
      <c r="P2" s="15"/>
      <c r="Q2" s="15"/>
      <c r="R2" s="15"/>
      <c r="S2" s="13"/>
      <c r="T2" s="67"/>
    </row>
    <row r="3" s="2" customFormat="1" ht="72" customHeight="1" spans="1:20">
      <c r="A3" s="69" t="s">
        <v>1</v>
      </c>
      <c r="B3" s="69" t="s">
        <v>12</v>
      </c>
      <c r="C3" s="69" t="s">
        <v>13</v>
      </c>
      <c r="D3" s="69" t="s">
        <v>14</v>
      </c>
      <c r="E3" s="69" t="s">
        <v>15</v>
      </c>
      <c r="F3" s="70" t="s">
        <v>16</v>
      </c>
      <c r="G3" s="71" t="s">
        <v>17</v>
      </c>
      <c r="H3" s="71" t="s">
        <v>18</v>
      </c>
      <c r="I3" s="71" t="s">
        <v>19</v>
      </c>
      <c r="J3" s="71" t="s">
        <v>20</v>
      </c>
      <c r="K3" s="71" t="s">
        <v>21</v>
      </c>
      <c r="L3" s="71" t="s">
        <v>22</v>
      </c>
      <c r="M3" s="71" t="s">
        <v>23</v>
      </c>
      <c r="N3" s="71" t="s">
        <v>24</v>
      </c>
      <c r="O3" s="71" t="s">
        <v>25</v>
      </c>
      <c r="P3" s="71" t="s">
        <v>26</v>
      </c>
      <c r="Q3" s="71" t="s">
        <v>27</v>
      </c>
      <c r="R3" s="71" t="s">
        <v>28</v>
      </c>
      <c r="S3" s="88" t="s">
        <v>6</v>
      </c>
      <c r="T3" s="67"/>
    </row>
    <row r="4" s="3" customFormat="1" ht="25" customHeight="1" spans="1:20">
      <c r="A4" s="69" t="s">
        <v>29</v>
      </c>
      <c r="B4" s="58" t="s">
        <v>30</v>
      </c>
      <c r="C4" s="58"/>
      <c r="D4" s="69"/>
      <c r="E4" s="69"/>
      <c r="F4" s="60"/>
      <c r="G4" s="60"/>
      <c r="H4" s="60"/>
      <c r="I4" s="60"/>
      <c r="J4" s="60"/>
      <c r="K4" s="60"/>
      <c r="L4" s="60"/>
      <c r="M4" s="60"/>
      <c r="N4" s="60"/>
      <c r="O4" s="60"/>
      <c r="P4" s="60"/>
      <c r="Q4" s="60"/>
      <c r="R4" s="60"/>
      <c r="S4" s="58"/>
      <c r="T4" s="89"/>
    </row>
    <row r="5" s="3" customFormat="1" ht="25" customHeight="1" outlineLevel="1" spans="1:20">
      <c r="A5" s="69">
        <v>1</v>
      </c>
      <c r="B5" s="58" t="s">
        <v>31</v>
      </c>
      <c r="C5" s="58"/>
      <c r="D5" s="69"/>
      <c r="E5" s="69"/>
      <c r="F5" s="60"/>
      <c r="G5" s="60"/>
      <c r="H5" s="60"/>
      <c r="I5" s="60"/>
      <c r="J5" s="60"/>
      <c r="K5" s="60"/>
      <c r="L5" s="60"/>
      <c r="M5" s="60"/>
      <c r="N5" s="60"/>
      <c r="O5" s="60"/>
      <c r="P5" s="60"/>
      <c r="Q5" s="60"/>
      <c r="R5" s="60"/>
      <c r="S5" s="58"/>
      <c r="T5" s="89"/>
    </row>
    <row r="6" s="4" customFormat="1" ht="206" customHeight="1" outlineLevel="2" spans="1:20">
      <c r="A6" s="72">
        <v>1.1</v>
      </c>
      <c r="B6" s="73" t="s">
        <v>32</v>
      </c>
      <c r="C6" s="74" t="s">
        <v>33</v>
      </c>
      <c r="D6" s="72" t="s">
        <v>34</v>
      </c>
      <c r="E6" s="72" t="s">
        <v>35</v>
      </c>
      <c r="F6" s="75">
        <f>SUM(G6:L6)</f>
        <v>30895.83</v>
      </c>
      <c r="G6" s="75">
        <v>17735.22</v>
      </c>
      <c r="H6" s="75">
        <v>5157.93</v>
      </c>
      <c r="I6" s="75">
        <v>616.26</v>
      </c>
      <c r="J6" s="75">
        <v>2192.31</v>
      </c>
      <c r="K6" s="75">
        <v>5194.11</v>
      </c>
      <c r="L6" s="75"/>
      <c r="M6" s="75"/>
      <c r="N6" s="75" t="s">
        <v>36</v>
      </c>
      <c r="O6" s="75"/>
      <c r="P6" s="75"/>
      <c r="Q6" s="75"/>
      <c r="R6" s="75"/>
      <c r="S6" s="73"/>
      <c r="T6" s="89"/>
    </row>
    <row r="7" s="4" customFormat="1" ht="51" customHeight="1" outlineLevel="2" spans="1:20">
      <c r="A7" s="72">
        <v>1.3</v>
      </c>
      <c r="B7" s="73" t="s">
        <v>37</v>
      </c>
      <c r="C7" s="73" t="s">
        <v>38</v>
      </c>
      <c r="D7" s="72" t="s">
        <v>39</v>
      </c>
      <c r="E7" s="72" t="s">
        <v>40</v>
      </c>
      <c r="F7" s="75">
        <f>SUM(G7:L7)</f>
        <v>794.83</v>
      </c>
      <c r="G7" s="75"/>
      <c r="H7" s="75"/>
      <c r="I7" s="75">
        <v>794.83</v>
      </c>
      <c r="J7" s="75"/>
      <c r="K7" s="75"/>
      <c r="L7" s="75"/>
      <c r="M7" s="75"/>
      <c r="N7" s="75" t="s">
        <v>36</v>
      </c>
      <c r="O7" s="75"/>
      <c r="P7" s="75"/>
      <c r="Q7" s="75"/>
      <c r="R7" s="75"/>
      <c r="S7" s="73"/>
      <c r="T7" s="90"/>
    </row>
    <row r="8" s="4" customFormat="1" ht="82" customHeight="1" outlineLevel="2" spans="1:20">
      <c r="A8" s="72">
        <v>1.4</v>
      </c>
      <c r="B8" s="73" t="s">
        <v>41</v>
      </c>
      <c r="C8" s="73" t="s">
        <v>42</v>
      </c>
      <c r="D8" s="72" t="s">
        <v>43</v>
      </c>
      <c r="E8" s="72" t="s">
        <v>40</v>
      </c>
      <c r="F8" s="75">
        <f>SUM(G8:L8)</f>
        <v>48801.27</v>
      </c>
      <c r="G8" s="75">
        <v>33221.33</v>
      </c>
      <c r="H8" s="75">
        <v>6811</v>
      </c>
      <c r="I8" s="75">
        <v>0</v>
      </c>
      <c r="J8" s="75">
        <v>4216.94</v>
      </c>
      <c r="K8" s="75">
        <f>2750+1802</f>
        <v>4552</v>
      </c>
      <c r="L8" s="75"/>
      <c r="M8" s="86"/>
      <c r="N8" s="86"/>
      <c r="O8" s="86"/>
      <c r="P8" s="86"/>
      <c r="Q8" s="86"/>
      <c r="R8" s="75"/>
      <c r="S8" s="73"/>
      <c r="T8" s="89"/>
    </row>
    <row r="9" s="4" customFormat="1" ht="82" customHeight="1" outlineLevel="2" spans="1:20">
      <c r="A9" s="72">
        <v>1.5</v>
      </c>
      <c r="B9" s="73" t="s">
        <v>44</v>
      </c>
      <c r="C9" s="76" t="s">
        <v>45</v>
      </c>
      <c r="D9" s="72" t="s">
        <v>43</v>
      </c>
      <c r="E9" s="72" t="s">
        <v>40</v>
      </c>
      <c r="F9" s="75">
        <v>1</v>
      </c>
      <c r="G9" s="75"/>
      <c r="H9" s="75"/>
      <c r="I9" s="75"/>
      <c r="J9" s="75"/>
      <c r="K9" s="75"/>
      <c r="L9" s="75"/>
      <c r="M9" s="86"/>
      <c r="N9" s="86"/>
      <c r="O9" s="86"/>
      <c r="P9" s="86"/>
      <c r="Q9" s="86"/>
      <c r="R9" s="75"/>
      <c r="S9" s="73"/>
      <c r="T9" s="89"/>
    </row>
    <row r="10" s="3" customFormat="1" ht="25" customHeight="1" outlineLevel="1" spans="1:20">
      <c r="A10" s="69">
        <v>2</v>
      </c>
      <c r="B10" s="58" t="s">
        <v>46</v>
      </c>
      <c r="C10" s="58"/>
      <c r="D10" s="69"/>
      <c r="E10" s="69"/>
      <c r="F10" s="60"/>
      <c r="G10" s="60"/>
      <c r="H10" s="60"/>
      <c r="I10" s="60"/>
      <c r="J10" s="60"/>
      <c r="K10" s="60"/>
      <c r="L10" s="60"/>
      <c r="M10" s="60"/>
      <c r="N10" s="60"/>
      <c r="O10" s="60"/>
      <c r="P10" s="60"/>
      <c r="Q10" s="60"/>
      <c r="R10" s="60"/>
      <c r="S10" s="58"/>
      <c r="T10" s="89"/>
    </row>
    <row r="11" s="4" customFormat="1" ht="51" customHeight="1" outlineLevel="2" spans="1:20">
      <c r="A11" s="72">
        <v>2.1</v>
      </c>
      <c r="B11" s="73" t="s">
        <v>47</v>
      </c>
      <c r="C11" s="77" t="s">
        <v>48</v>
      </c>
      <c r="D11" s="78" t="s">
        <v>49</v>
      </c>
      <c r="E11" s="72" t="s">
        <v>40</v>
      </c>
      <c r="F11" s="75">
        <v>1</v>
      </c>
      <c r="G11" s="75"/>
      <c r="H11" s="75"/>
      <c r="I11" s="75"/>
      <c r="J11" s="75"/>
      <c r="K11" s="75"/>
      <c r="L11" s="75"/>
      <c r="M11" s="75"/>
      <c r="N11" s="75" t="s">
        <v>36</v>
      </c>
      <c r="O11" s="75"/>
      <c r="P11" s="75"/>
      <c r="Q11" s="75"/>
      <c r="R11" s="75"/>
      <c r="S11" s="91"/>
      <c r="T11" s="90"/>
    </row>
    <row r="12" s="4" customFormat="1" ht="51" customHeight="1" outlineLevel="2" spans="1:20">
      <c r="A12" s="72">
        <v>2.2</v>
      </c>
      <c r="B12" s="73" t="s">
        <v>50</v>
      </c>
      <c r="C12" s="79"/>
      <c r="D12" s="80"/>
      <c r="E12" s="72" t="s">
        <v>40</v>
      </c>
      <c r="F12" s="75">
        <f t="shared" ref="F12:F17" si="0">SUM(G12:L12)</f>
        <v>384.73634</v>
      </c>
      <c r="G12" s="75">
        <f>250*0.827</f>
        <v>206.75</v>
      </c>
      <c r="H12" s="75">
        <f>59.47*1.962</f>
        <v>116.68014</v>
      </c>
      <c r="I12" s="75">
        <f>37*0.817</f>
        <v>30.229</v>
      </c>
      <c r="J12" s="75">
        <f>15.4*2.018</f>
        <v>31.0772</v>
      </c>
      <c r="K12" s="75"/>
      <c r="L12" s="75"/>
      <c r="M12" s="75"/>
      <c r="N12" s="75" t="s">
        <v>36</v>
      </c>
      <c r="O12" s="75"/>
      <c r="P12" s="75"/>
      <c r="Q12" s="75"/>
      <c r="R12" s="75"/>
      <c r="S12" s="91"/>
      <c r="T12" s="90"/>
    </row>
    <row r="13" s="4" customFormat="1" ht="51" customHeight="1" outlineLevel="2" spans="1:20">
      <c r="A13" s="72">
        <v>2.3</v>
      </c>
      <c r="B13" s="73" t="s">
        <v>51</v>
      </c>
      <c r="C13" s="79"/>
      <c r="D13" s="80"/>
      <c r="E13" s="72" t="s">
        <v>40</v>
      </c>
      <c r="F13" s="75">
        <v>1</v>
      </c>
      <c r="G13" s="75"/>
      <c r="H13" s="75"/>
      <c r="I13" s="75"/>
      <c r="J13" s="75"/>
      <c r="K13" s="75"/>
      <c r="L13" s="75"/>
      <c r="M13" s="75"/>
      <c r="N13" s="75" t="s">
        <v>36</v>
      </c>
      <c r="O13" s="75"/>
      <c r="P13" s="75"/>
      <c r="Q13" s="75"/>
      <c r="R13" s="75"/>
      <c r="S13" s="91"/>
      <c r="T13" s="90"/>
    </row>
    <row r="14" s="3" customFormat="1" ht="25" customHeight="1" outlineLevel="1" spans="1:20">
      <c r="A14" s="69">
        <v>3</v>
      </c>
      <c r="B14" s="58" t="s">
        <v>52</v>
      </c>
      <c r="C14" s="58"/>
      <c r="D14" s="69"/>
      <c r="E14" s="69"/>
      <c r="F14" s="60"/>
      <c r="G14" s="60"/>
      <c r="H14" s="60"/>
      <c r="I14" s="60"/>
      <c r="J14" s="60"/>
      <c r="K14" s="60"/>
      <c r="L14" s="60"/>
      <c r="M14" s="60"/>
      <c r="N14" s="60"/>
      <c r="O14" s="60"/>
      <c r="P14" s="60"/>
      <c r="Q14" s="60"/>
      <c r="R14" s="60"/>
      <c r="S14" s="58"/>
      <c r="T14" s="89"/>
    </row>
    <row r="15" s="4" customFormat="1" ht="79" customHeight="1" outlineLevel="2" spans="1:20">
      <c r="A15" s="72">
        <v>3.1</v>
      </c>
      <c r="B15" s="73" t="s">
        <v>50</v>
      </c>
      <c r="C15" s="78" t="s">
        <v>53</v>
      </c>
      <c r="D15" s="78" t="s">
        <v>49</v>
      </c>
      <c r="E15" s="72" t="s">
        <v>40</v>
      </c>
      <c r="F15" s="75">
        <f t="shared" si="0"/>
        <v>3499.146</v>
      </c>
      <c r="G15" s="75"/>
      <c r="H15" s="75"/>
      <c r="I15" s="75">
        <f>1938*0.817-I16</f>
        <v>1530.046</v>
      </c>
      <c r="J15" s="75"/>
      <c r="K15" s="75">
        <f>398.72/0.2-K16</f>
        <v>1969.1</v>
      </c>
      <c r="L15" s="75"/>
      <c r="M15" s="75"/>
      <c r="N15" s="75" t="s">
        <v>36</v>
      </c>
      <c r="O15" s="75"/>
      <c r="P15" s="75"/>
      <c r="Q15" s="75"/>
      <c r="R15" s="75"/>
      <c r="S15" s="91"/>
      <c r="T15" s="89"/>
    </row>
    <row r="16" s="4" customFormat="1" ht="79" customHeight="1" outlineLevel="2" spans="1:20">
      <c r="A16" s="72">
        <v>3.2</v>
      </c>
      <c r="B16" s="73" t="s">
        <v>54</v>
      </c>
      <c r="C16" s="80"/>
      <c r="D16" s="80"/>
      <c r="E16" s="72" t="s">
        <v>40</v>
      </c>
      <c r="F16" s="75">
        <v>1</v>
      </c>
      <c r="G16" s="75"/>
      <c r="H16" s="75"/>
      <c r="I16" s="75">
        <f>8.2*6.5</f>
        <v>53.3</v>
      </c>
      <c r="J16" s="75"/>
      <c r="K16" s="75">
        <f>7*3.5</f>
        <v>24.5</v>
      </c>
      <c r="L16" s="75"/>
      <c r="M16" s="75"/>
      <c r="N16" s="75" t="s">
        <v>36</v>
      </c>
      <c r="O16" s="75"/>
      <c r="P16" s="75"/>
      <c r="Q16" s="75"/>
      <c r="R16" s="75"/>
      <c r="S16" s="91"/>
      <c r="T16" s="89"/>
    </row>
    <row r="17" s="4" customFormat="1" ht="79" customHeight="1" outlineLevel="2" spans="1:20">
      <c r="A17" s="72">
        <v>3.3</v>
      </c>
      <c r="B17" s="73" t="s">
        <v>55</v>
      </c>
      <c r="C17" s="80"/>
      <c r="D17" s="81"/>
      <c r="E17" s="72" t="s">
        <v>40</v>
      </c>
      <c r="F17" s="75">
        <f t="shared" si="0"/>
        <v>140.85</v>
      </c>
      <c r="G17" s="75"/>
      <c r="H17" s="75">
        <f>34.4*0.3</f>
        <v>10.32</v>
      </c>
      <c r="I17" s="75">
        <f>156.7*0.3</f>
        <v>47.01</v>
      </c>
      <c r="J17" s="75"/>
      <c r="K17" s="75">
        <f>(137.9+140.5)*0.3</f>
        <v>83.52</v>
      </c>
      <c r="L17" s="75"/>
      <c r="M17" s="75"/>
      <c r="N17" s="75"/>
      <c r="O17" s="75"/>
      <c r="P17" s="75"/>
      <c r="Q17" s="75"/>
      <c r="R17" s="75"/>
      <c r="S17" s="91"/>
      <c r="T17" s="89"/>
    </row>
    <row r="18" s="3" customFormat="1" ht="25" customHeight="1" outlineLevel="1" spans="1:20">
      <c r="A18" s="69">
        <v>4</v>
      </c>
      <c r="B18" s="58" t="s">
        <v>56</v>
      </c>
      <c r="C18" s="58"/>
      <c r="D18" s="69"/>
      <c r="E18" s="69"/>
      <c r="F18" s="60"/>
      <c r="G18" s="60"/>
      <c r="H18" s="60"/>
      <c r="I18" s="60"/>
      <c r="J18" s="60"/>
      <c r="K18" s="60"/>
      <c r="L18" s="60"/>
      <c r="M18" s="60"/>
      <c r="N18" s="60"/>
      <c r="O18" s="60"/>
      <c r="P18" s="60"/>
      <c r="Q18" s="60"/>
      <c r="R18" s="60"/>
      <c r="S18" s="58"/>
      <c r="T18" s="89"/>
    </row>
    <row r="19" s="3" customFormat="1" ht="102" customHeight="1" outlineLevel="2" spans="1:20">
      <c r="A19" s="72">
        <v>4.1</v>
      </c>
      <c r="B19" s="73" t="s">
        <v>57</v>
      </c>
      <c r="C19" s="73" t="s">
        <v>58</v>
      </c>
      <c r="D19" s="72" t="s">
        <v>49</v>
      </c>
      <c r="E19" s="72" t="s">
        <v>40</v>
      </c>
      <c r="F19" s="75">
        <f t="shared" ref="F19:F25" si="1">SUM(G19:L19)</f>
        <v>20602.1476</v>
      </c>
      <c r="G19" s="75">
        <f>10966*0.95</f>
        <v>10417.7</v>
      </c>
      <c r="H19" s="75">
        <f>6612*0.95</f>
        <v>6281.4</v>
      </c>
      <c r="I19" s="75">
        <v>3.64</v>
      </c>
      <c r="J19" s="75">
        <f>3.14*11.1*11.1*4</f>
        <v>1547.5176</v>
      </c>
      <c r="K19" s="75">
        <f>2418*0.97+6.43</f>
        <v>2351.89</v>
      </c>
      <c r="L19" s="75"/>
      <c r="M19" s="75"/>
      <c r="N19" s="75" t="s">
        <v>36</v>
      </c>
      <c r="O19" s="75"/>
      <c r="P19" s="75"/>
      <c r="Q19" s="75"/>
      <c r="R19" s="60"/>
      <c r="S19" s="73"/>
      <c r="T19" s="92"/>
    </row>
    <row r="20" s="3" customFormat="1" ht="102" customHeight="1" outlineLevel="2" spans="1:20">
      <c r="A20" s="72">
        <v>4.2</v>
      </c>
      <c r="B20" s="73" t="s">
        <v>59</v>
      </c>
      <c r="C20" s="73" t="s">
        <v>58</v>
      </c>
      <c r="D20" s="72" t="s">
        <v>49</v>
      </c>
      <c r="E20" s="72" t="s">
        <v>40</v>
      </c>
      <c r="F20" s="75">
        <f t="shared" si="1"/>
        <v>763.77</v>
      </c>
      <c r="G20" s="75"/>
      <c r="H20" s="75"/>
      <c r="I20" s="75">
        <f>760.13+3.64</f>
        <v>763.77</v>
      </c>
      <c r="J20" s="75"/>
      <c r="K20" s="75"/>
      <c r="L20" s="75"/>
      <c r="M20" s="75"/>
      <c r="N20" s="75" t="s">
        <v>36</v>
      </c>
      <c r="O20" s="75"/>
      <c r="P20" s="75"/>
      <c r="Q20" s="75"/>
      <c r="R20" s="60"/>
      <c r="S20" s="73"/>
      <c r="T20" s="92"/>
    </row>
    <row r="21" s="3" customFormat="1" ht="102" customHeight="1" outlineLevel="2" spans="1:20">
      <c r="A21" s="72">
        <v>4.3</v>
      </c>
      <c r="B21" s="73" t="s">
        <v>60</v>
      </c>
      <c r="C21" s="73" t="s">
        <v>61</v>
      </c>
      <c r="D21" s="72" t="s">
        <v>49</v>
      </c>
      <c r="E21" s="72" t="s">
        <v>40</v>
      </c>
      <c r="F21" s="75">
        <f t="shared" si="1"/>
        <v>4459.6</v>
      </c>
      <c r="G21" s="75">
        <f>4300*0.85</f>
        <v>3655</v>
      </c>
      <c r="H21" s="75">
        <f>84*2+69*2</f>
        <v>306</v>
      </c>
      <c r="I21" s="75">
        <v>315.6</v>
      </c>
      <c r="J21" s="75"/>
      <c r="K21" s="75">
        <v>183</v>
      </c>
      <c r="L21" s="75"/>
      <c r="M21" s="75"/>
      <c r="N21" s="75" t="s">
        <v>36</v>
      </c>
      <c r="O21" s="75"/>
      <c r="P21" s="75"/>
      <c r="Q21" s="75"/>
      <c r="R21" s="60"/>
      <c r="S21" s="73"/>
      <c r="T21" s="92"/>
    </row>
    <row r="22" s="3" customFormat="1" ht="102" customHeight="1" outlineLevel="2" spans="1:20">
      <c r="A22" s="72">
        <v>4.4</v>
      </c>
      <c r="B22" s="73" t="s">
        <v>62</v>
      </c>
      <c r="C22" s="73" t="s">
        <v>63</v>
      </c>
      <c r="D22" s="72" t="s">
        <v>49</v>
      </c>
      <c r="E22" s="72" t="s">
        <v>40</v>
      </c>
      <c r="F22" s="75">
        <f t="shared" si="1"/>
        <v>10.07</v>
      </c>
      <c r="G22" s="75"/>
      <c r="H22" s="75"/>
      <c r="I22" s="75">
        <v>3.64</v>
      </c>
      <c r="J22" s="75"/>
      <c r="K22" s="75">
        <v>6.43</v>
      </c>
      <c r="L22" s="75"/>
      <c r="M22" s="75"/>
      <c r="N22" s="75"/>
      <c r="O22" s="75"/>
      <c r="P22" s="75"/>
      <c r="Q22" s="75"/>
      <c r="R22" s="60"/>
      <c r="S22" s="73" t="s">
        <v>64</v>
      </c>
      <c r="T22" s="92"/>
    </row>
    <row r="23" s="3" customFormat="1" ht="84" customHeight="1" outlineLevel="2" spans="1:20">
      <c r="A23" s="72">
        <v>4.5</v>
      </c>
      <c r="B23" s="73" t="s">
        <v>65</v>
      </c>
      <c r="C23" s="73" t="s">
        <v>66</v>
      </c>
      <c r="D23" s="72" t="s">
        <v>67</v>
      </c>
      <c r="E23" s="72" t="s">
        <v>35</v>
      </c>
      <c r="F23" s="75">
        <f t="shared" si="1"/>
        <v>2.014</v>
      </c>
      <c r="G23" s="75"/>
      <c r="H23" s="75"/>
      <c r="I23" s="75">
        <f>3.64*0.2</f>
        <v>0.728</v>
      </c>
      <c r="J23" s="75"/>
      <c r="K23" s="75">
        <f>6.43*0.2</f>
        <v>1.286</v>
      </c>
      <c r="L23" s="75"/>
      <c r="M23" s="75"/>
      <c r="N23" s="75"/>
      <c r="O23" s="75"/>
      <c r="P23" s="75"/>
      <c r="Q23" s="75"/>
      <c r="R23" s="60"/>
      <c r="S23" s="73"/>
      <c r="T23" s="92"/>
    </row>
    <row r="24" s="3" customFormat="1" ht="84" customHeight="1" outlineLevel="2" spans="1:20">
      <c r="A24" s="72">
        <v>4.6</v>
      </c>
      <c r="B24" s="73" t="s">
        <v>68</v>
      </c>
      <c r="C24" s="73" t="s">
        <v>69</v>
      </c>
      <c r="D24" s="72" t="s">
        <v>49</v>
      </c>
      <c r="E24" s="72" t="s">
        <v>40</v>
      </c>
      <c r="F24" s="75">
        <f t="shared" si="1"/>
        <v>498.6</v>
      </c>
      <c r="G24" s="75"/>
      <c r="H24" s="75"/>
      <c r="I24" s="75">
        <f>I21</f>
        <v>315.6</v>
      </c>
      <c r="J24" s="75"/>
      <c r="K24" s="75">
        <f>K21</f>
        <v>183</v>
      </c>
      <c r="L24" s="75"/>
      <c r="M24" s="75"/>
      <c r="N24" s="75"/>
      <c r="O24" s="75"/>
      <c r="P24" s="75"/>
      <c r="Q24" s="75"/>
      <c r="R24" s="60"/>
      <c r="S24" s="73"/>
      <c r="T24" s="92"/>
    </row>
    <row r="25" s="3" customFormat="1" ht="84" customHeight="1" outlineLevel="2" spans="1:20">
      <c r="A25" s="72">
        <v>4.7</v>
      </c>
      <c r="B25" s="73" t="s">
        <v>70</v>
      </c>
      <c r="C25" s="73" t="s">
        <v>71</v>
      </c>
      <c r="D25" s="72" t="s">
        <v>49</v>
      </c>
      <c r="E25" s="72" t="s">
        <v>40</v>
      </c>
      <c r="F25" s="75">
        <f t="shared" si="1"/>
        <v>456.81466</v>
      </c>
      <c r="G25" s="75"/>
      <c r="H25" s="75"/>
      <c r="I25" s="75"/>
      <c r="J25" s="75">
        <f>226.37*2.018</f>
        <v>456.81466</v>
      </c>
      <c r="K25" s="75"/>
      <c r="L25" s="75"/>
      <c r="M25" s="75"/>
      <c r="N25" s="75"/>
      <c r="O25" s="75"/>
      <c r="P25" s="75"/>
      <c r="Q25" s="75"/>
      <c r="R25" s="60"/>
      <c r="S25" s="58" t="s">
        <v>72</v>
      </c>
      <c r="T25" s="92"/>
    </row>
    <row r="26" s="3" customFormat="1" ht="25" customHeight="1" outlineLevel="1" spans="1:20">
      <c r="A26" s="69">
        <v>5</v>
      </c>
      <c r="B26" s="58" t="s">
        <v>73</v>
      </c>
      <c r="C26" s="58"/>
      <c r="D26" s="69"/>
      <c r="E26" s="69"/>
      <c r="F26" s="60"/>
      <c r="G26" s="60"/>
      <c r="H26" s="60"/>
      <c r="I26" s="60"/>
      <c r="J26" s="60"/>
      <c r="K26" s="60"/>
      <c r="L26" s="60"/>
      <c r="M26" s="60"/>
      <c r="N26" s="60"/>
      <c r="O26" s="60"/>
      <c r="P26" s="60"/>
      <c r="Q26" s="60"/>
      <c r="R26" s="60"/>
      <c r="S26" s="58"/>
      <c r="T26" s="89"/>
    </row>
    <row r="27" s="4" customFormat="1" ht="170" customHeight="1" outlineLevel="2" spans="1:20">
      <c r="A27" s="72">
        <v>5.1</v>
      </c>
      <c r="B27" s="73" t="s">
        <v>74</v>
      </c>
      <c r="C27" s="73" t="s">
        <v>75</v>
      </c>
      <c r="D27" s="72" t="s">
        <v>49</v>
      </c>
      <c r="E27" s="72" t="s">
        <v>40</v>
      </c>
      <c r="F27" s="75">
        <f t="shared" ref="F27:F32" si="2">SUM(G27:L27)</f>
        <v>44416.024</v>
      </c>
      <c r="G27" s="75">
        <f>(79.24*8+108.9*2+34.3*2)*10+(108.9*2+207.8*2+15.8*10+44.75*4+98.56*2+61.12*2)*7.8</f>
        <v>19263.328</v>
      </c>
      <c r="H27" s="75">
        <f>(89.95*8*2+64.5*8)*5.5+(142.89+12*8.5)*9.5</f>
        <v>13080.055</v>
      </c>
      <c r="I27" s="75">
        <f>3273*0.817</f>
        <v>2674.041</v>
      </c>
      <c r="J27" s="75">
        <f>69.7*7*4</f>
        <v>1951.6</v>
      </c>
      <c r="K27" s="75">
        <f>11425-834-3144</f>
        <v>7447</v>
      </c>
      <c r="L27" s="75"/>
      <c r="M27" s="75"/>
      <c r="N27" s="75" t="s">
        <v>36</v>
      </c>
      <c r="O27" s="75"/>
      <c r="P27" s="75"/>
      <c r="Q27" s="75"/>
      <c r="R27" s="75"/>
      <c r="S27" s="73"/>
      <c r="T27" s="90"/>
    </row>
    <row r="28" s="4" customFormat="1" ht="106" customHeight="1" outlineLevel="2" spans="1:20">
      <c r="A28" s="72">
        <v>5.2</v>
      </c>
      <c r="B28" s="73" t="s">
        <v>76</v>
      </c>
      <c r="C28" s="73" t="s">
        <v>77</v>
      </c>
      <c r="D28" s="72" t="s">
        <v>49</v>
      </c>
      <c r="E28" s="72" t="s">
        <v>40</v>
      </c>
      <c r="F28" s="75">
        <f t="shared" si="2"/>
        <v>35.92</v>
      </c>
      <c r="G28" s="75"/>
      <c r="H28" s="75"/>
      <c r="I28" s="75">
        <f>8.2*2.2-0.9*1.4-0.8*2.2</f>
        <v>15.02</v>
      </c>
      <c r="J28" s="75"/>
      <c r="K28" s="75">
        <f>10.5*2.2-2.2</f>
        <v>20.9</v>
      </c>
      <c r="L28" s="75"/>
      <c r="M28" s="75"/>
      <c r="N28" s="75"/>
      <c r="O28" s="75"/>
      <c r="P28" s="75"/>
      <c r="Q28" s="75"/>
      <c r="R28" s="75"/>
      <c r="S28" s="73" t="s">
        <v>64</v>
      </c>
      <c r="T28" s="90"/>
    </row>
    <row r="29" s="4" customFormat="1" ht="106" customHeight="1" outlineLevel="2" spans="1:20">
      <c r="A29" s="72">
        <v>5.3</v>
      </c>
      <c r="B29" s="73" t="s">
        <v>78</v>
      </c>
      <c r="C29" s="73" t="s">
        <v>79</v>
      </c>
      <c r="D29" s="72" t="s">
        <v>49</v>
      </c>
      <c r="E29" s="72" t="s">
        <v>40</v>
      </c>
      <c r="F29" s="75">
        <f t="shared" si="2"/>
        <v>12086.743</v>
      </c>
      <c r="G29" s="75">
        <f>422*8.5</f>
        <v>3587</v>
      </c>
      <c r="H29" s="75">
        <f>333*7</f>
        <v>2331</v>
      </c>
      <c r="I29" s="75">
        <f>1589*0.817</f>
        <v>1298.213</v>
      </c>
      <c r="J29" s="75">
        <f>71.94*6*4</f>
        <v>1726.56</v>
      </c>
      <c r="K29" s="75">
        <f>3143.97</f>
        <v>3143.97</v>
      </c>
      <c r="L29" s="75"/>
      <c r="M29" s="75"/>
      <c r="N29" s="75" t="s">
        <v>36</v>
      </c>
      <c r="O29" s="75"/>
      <c r="P29" s="75"/>
      <c r="Q29" s="75"/>
      <c r="R29" s="75"/>
      <c r="S29" s="73"/>
      <c r="T29" s="90"/>
    </row>
    <row r="30" s="4" customFormat="1" ht="107" customHeight="1" outlineLevel="2" spans="1:20">
      <c r="A30" s="72">
        <v>5.4</v>
      </c>
      <c r="B30" s="73" t="s">
        <v>80</v>
      </c>
      <c r="C30" s="73" t="s">
        <v>81</v>
      </c>
      <c r="D30" s="72" t="s">
        <v>49</v>
      </c>
      <c r="E30" s="72" t="s">
        <v>40</v>
      </c>
      <c r="F30" s="75">
        <f t="shared" si="2"/>
        <v>12086.743</v>
      </c>
      <c r="G30" s="75">
        <f>G29</f>
        <v>3587</v>
      </c>
      <c r="H30" s="75">
        <f>H29</f>
        <v>2331</v>
      </c>
      <c r="I30" s="75">
        <f>I29</f>
        <v>1298.213</v>
      </c>
      <c r="J30" s="75">
        <f>J29</f>
        <v>1726.56</v>
      </c>
      <c r="K30" s="75">
        <f>3143.97</f>
        <v>3143.97</v>
      </c>
      <c r="L30" s="75"/>
      <c r="M30" s="75"/>
      <c r="N30" s="75" t="s">
        <v>36</v>
      </c>
      <c r="O30" s="75"/>
      <c r="P30" s="75"/>
      <c r="Q30" s="75"/>
      <c r="R30" s="75"/>
      <c r="S30" s="73"/>
      <c r="T30" s="89"/>
    </row>
    <row r="31" s="4" customFormat="1" ht="107" customHeight="1" outlineLevel="2" spans="1:20">
      <c r="A31" s="72">
        <v>5.5</v>
      </c>
      <c r="B31" s="73" t="s">
        <v>82</v>
      </c>
      <c r="C31" s="73" t="s">
        <v>83</v>
      </c>
      <c r="D31" s="72" t="s">
        <v>49</v>
      </c>
      <c r="E31" s="72" t="s">
        <v>40</v>
      </c>
      <c r="F31" s="75">
        <f t="shared" si="2"/>
        <v>833.98</v>
      </c>
      <c r="G31" s="75"/>
      <c r="H31" s="75"/>
      <c r="I31" s="75"/>
      <c r="J31" s="75"/>
      <c r="K31" s="75">
        <v>833.98</v>
      </c>
      <c r="L31" s="75"/>
      <c r="M31" s="75"/>
      <c r="N31" s="75" t="s">
        <v>36</v>
      </c>
      <c r="O31" s="75"/>
      <c r="P31" s="75"/>
      <c r="Q31" s="75"/>
      <c r="R31" s="75"/>
      <c r="S31" s="73"/>
      <c r="T31" s="89"/>
    </row>
    <row r="32" s="4" customFormat="1" ht="59" customHeight="1" outlineLevel="2" spans="1:20">
      <c r="A32" s="72">
        <v>5.6</v>
      </c>
      <c r="B32" s="73" t="s">
        <v>84</v>
      </c>
      <c r="C32" s="73" t="s">
        <v>85</v>
      </c>
      <c r="D32" s="72" t="s">
        <v>49</v>
      </c>
      <c r="E32" s="72" t="s">
        <v>40</v>
      </c>
      <c r="F32" s="75">
        <f t="shared" si="2"/>
        <v>1884.78</v>
      </c>
      <c r="G32" s="75">
        <f>1.6*(15.9*32)+90.8*3</f>
        <v>1086.48</v>
      </c>
      <c r="H32" s="75">
        <f>64.05*3*2</f>
        <v>384.3</v>
      </c>
      <c r="I32" s="75"/>
      <c r="J32" s="75">
        <f>1.5*69*4</f>
        <v>414</v>
      </c>
      <c r="K32" s="75"/>
      <c r="L32" s="75"/>
      <c r="M32" s="75"/>
      <c r="N32" s="75" t="s">
        <v>36</v>
      </c>
      <c r="O32" s="75"/>
      <c r="P32" s="75"/>
      <c r="Q32" s="75"/>
      <c r="R32" s="75"/>
      <c r="S32" s="73"/>
      <c r="T32" s="89"/>
    </row>
    <row r="33" s="3" customFormat="1" ht="25" customHeight="1" outlineLevel="1" spans="1:20">
      <c r="A33" s="69">
        <v>6</v>
      </c>
      <c r="B33" s="58" t="s">
        <v>86</v>
      </c>
      <c r="C33" s="58"/>
      <c r="D33" s="69"/>
      <c r="E33" s="69"/>
      <c r="F33" s="60"/>
      <c r="G33" s="60"/>
      <c r="H33" s="60"/>
      <c r="I33" s="60"/>
      <c r="J33" s="60"/>
      <c r="K33" s="60"/>
      <c r="L33" s="60"/>
      <c r="M33" s="60"/>
      <c r="N33" s="60"/>
      <c r="O33" s="60"/>
      <c r="P33" s="60"/>
      <c r="Q33" s="60"/>
      <c r="R33" s="60"/>
      <c r="S33" s="58"/>
      <c r="T33" s="89"/>
    </row>
    <row r="34" s="4" customFormat="1" ht="102" customHeight="1" outlineLevel="2" spans="1:20">
      <c r="A34" s="72">
        <v>6.1</v>
      </c>
      <c r="B34" s="73" t="s">
        <v>87</v>
      </c>
      <c r="C34" s="73" t="s">
        <v>88</v>
      </c>
      <c r="D34" s="72" t="s">
        <v>49</v>
      </c>
      <c r="E34" s="72" t="s">
        <v>40</v>
      </c>
      <c r="F34" s="75">
        <f>SUM(G34:L34)</f>
        <v>1119.02</v>
      </c>
      <c r="G34" s="75"/>
      <c r="H34" s="75"/>
      <c r="I34" s="75"/>
      <c r="J34" s="75">
        <f>1119.02</f>
        <v>1119.02</v>
      </c>
      <c r="K34" s="75"/>
      <c r="L34" s="75"/>
      <c r="M34" s="75"/>
      <c r="N34" s="75" t="s">
        <v>36</v>
      </c>
      <c r="O34" s="75"/>
      <c r="P34" s="75"/>
      <c r="Q34" s="75"/>
      <c r="R34" s="75"/>
      <c r="S34" s="73"/>
      <c r="T34" s="89"/>
    </row>
    <row r="35" s="4" customFormat="1" ht="102" customHeight="1" outlineLevel="2" spans="1:20">
      <c r="A35" s="72">
        <v>6.2</v>
      </c>
      <c r="B35" s="73" t="s">
        <v>89</v>
      </c>
      <c r="C35" s="73" t="s">
        <v>90</v>
      </c>
      <c r="D35" s="72" t="s">
        <v>49</v>
      </c>
      <c r="E35" s="72" t="s">
        <v>40</v>
      </c>
      <c r="F35" s="75">
        <f>SUM(G35:L35)</f>
        <v>2243.91</v>
      </c>
      <c r="G35" s="75"/>
      <c r="H35" s="75">
        <v>74.01</v>
      </c>
      <c r="I35" s="75">
        <v>880.6</v>
      </c>
      <c r="J35" s="75">
        <f>1289.3</f>
        <v>1289.3</v>
      </c>
      <c r="K35" s="75"/>
      <c r="L35" s="75"/>
      <c r="M35" s="75"/>
      <c r="N35" s="75"/>
      <c r="O35" s="75"/>
      <c r="P35" s="75"/>
      <c r="Q35" s="75"/>
      <c r="R35" s="75"/>
      <c r="S35" s="73"/>
      <c r="T35" s="89"/>
    </row>
    <row r="36" s="4" customFormat="1" ht="102" customHeight="1" outlineLevel="2" spans="1:20">
      <c r="A36" s="72">
        <v>6.3</v>
      </c>
      <c r="B36" s="73" t="s">
        <v>91</v>
      </c>
      <c r="C36" s="73" t="s">
        <v>92</v>
      </c>
      <c r="D36" s="72" t="s">
        <v>49</v>
      </c>
      <c r="E36" s="72" t="s">
        <v>40</v>
      </c>
      <c r="F36" s="75">
        <f>SUM(G36:L36)</f>
        <v>217.61</v>
      </c>
      <c r="G36" s="75"/>
      <c r="H36" s="75"/>
      <c r="I36" s="75"/>
      <c r="J36" s="75">
        <v>217.61</v>
      </c>
      <c r="K36" s="75"/>
      <c r="L36" s="75"/>
      <c r="M36" s="75"/>
      <c r="N36" s="75" t="s">
        <v>36</v>
      </c>
      <c r="O36" s="75"/>
      <c r="P36" s="75"/>
      <c r="Q36" s="75"/>
      <c r="R36" s="75"/>
      <c r="S36" s="73"/>
      <c r="T36" s="89"/>
    </row>
    <row r="37" s="4" customFormat="1" ht="102" customHeight="1" outlineLevel="2" spans="1:20">
      <c r="A37" s="72">
        <v>6.4</v>
      </c>
      <c r="B37" s="73" t="s">
        <v>93</v>
      </c>
      <c r="C37" s="73" t="s">
        <v>94</v>
      </c>
      <c r="D37" s="72" t="s">
        <v>49</v>
      </c>
      <c r="E37" s="72" t="s">
        <v>40</v>
      </c>
      <c r="F37" s="75">
        <f>SUM(G37:L37)</f>
        <v>3362.93</v>
      </c>
      <c r="G37" s="75"/>
      <c r="H37" s="75">
        <f>74.01</f>
        <v>74.01</v>
      </c>
      <c r="I37" s="75">
        <f>880.6</f>
        <v>880.6</v>
      </c>
      <c r="J37" s="75">
        <f>1119.02+1289.3</f>
        <v>2408.32</v>
      </c>
      <c r="K37" s="75"/>
      <c r="L37" s="75"/>
      <c r="M37" s="75"/>
      <c r="N37" s="75" t="s">
        <v>36</v>
      </c>
      <c r="O37" s="75"/>
      <c r="P37" s="75"/>
      <c r="Q37" s="75"/>
      <c r="R37" s="75"/>
      <c r="S37" s="73"/>
      <c r="T37" s="89"/>
    </row>
    <row r="38" s="3" customFormat="1" ht="28" customHeight="1" outlineLevel="1" spans="1:20">
      <c r="A38" s="69">
        <v>7</v>
      </c>
      <c r="B38" s="58" t="s">
        <v>95</v>
      </c>
      <c r="C38" s="58"/>
      <c r="D38" s="69"/>
      <c r="E38" s="69"/>
      <c r="F38" s="60"/>
      <c r="G38" s="60"/>
      <c r="H38" s="60"/>
      <c r="I38" s="60"/>
      <c r="J38" s="60"/>
      <c r="K38" s="60"/>
      <c r="L38" s="60"/>
      <c r="M38" s="60"/>
      <c r="N38" s="60"/>
      <c r="O38" s="60"/>
      <c r="P38" s="60"/>
      <c r="Q38" s="60"/>
      <c r="R38" s="60"/>
      <c r="S38" s="58"/>
      <c r="T38" s="89"/>
    </row>
    <row r="39" s="4" customFormat="1" ht="168" customHeight="1" outlineLevel="2" spans="1:20">
      <c r="A39" s="72">
        <v>7.1</v>
      </c>
      <c r="B39" s="73" t="s">
        <v>96</v>
      </c>
      <c r="C39" s="73" t="s">
        <v>97</v>
      </c>
      <c r="D39" s="72" t="s">
        <v>98</v>
      </c>
      <c r="E39" s="72" t="s">
        <v>40</v>
      </c>
      <c r="F39" s="75">
        <f>SUM(G39:L39)</f>
        <v>10085.121</v>
      </c>
      <c r="G39" s="75"/>
      <c r="H39" s="75"/>
      <c r="I39" s="75">
        <f>I27-I28</f>
        <v>2659.021</v>
      </c>
      <c r="J39" s="75"/>
      <c r="K39" s="75">
        <f>K27-K28</f>
        <v>7426.1</v>
      </c>
      <c r="L39" s="75"/>
      <c r="M39" s="75"/>
      <c r="N39" s="75"/>
      <c r="O39" s="75"/>
      <c r="P39" s="75"/>
      <c r="Q39" s="75"/>
      <c r="R39" s="75"/>
      <c r="S39" s="73"/>
      <c r="T39" s="89"/>
    </row>
    <row r="40" s="4" customFormat="1" ht="238" customHeight="1" outlineLevel="2" spans="1:20">
      <c r="A40" s="72">
        <v>7.2</v>
      </c>
      <c r="B40" s="73" t="s">
        <v>99</v>
      </c>
      <c r="C40" s="73" t="s">
        <v>100</v>
      </c>
      <c r="D40" s="72" t="s">
        <v>98</v>
      </c>
      <c r="E40" s="72" t="s">
        <v>40</v>
      </c>
      <c r="F40" s="75">
        <v>1</v>
      </c>
      <c r="H40" s="75"/>
      <c r="I40" s="75"/>
      <c r="J40" s="75"/>
      <c r="K40" s="75"/>
      <c r="L40" s="75"/>
      <c r="M40" s="75"/>
      <c r="N40" s="75"/>
      <c r="O40" s="75"/>
      <c r="P40" s="75"/>
      <c r="Q40" s="75"/>
      <c r="R40" s="75"/>
      <c r="S40" s="73"/>
      <c r="T40" s="89"/>
    </row>
    <row r="41" s="4" customFormat="1" ht="227" customHeight="1" outlineLevel="2" spans="1:20">
      <c r="A41" s="72">
        <v>7.3</v>
      </c>
      <c r="B41" s="73" t="s">
        <v>99</v>
      </c>
      <c r="C41" s="73" t="s">
        <v>101</v>
      </c>
      <c r="D41" s="72" t="s">
        <v>98</v>
      </c>
      <c r="E41" s="72" t="s">
        <v>40</v>
      </c>
      <c r="F41" s="75">
        <f>SUM(G41:L41)</f>
        <v>11135.94966</v>
      </c>
      <c r="G41" s="75">
        <f>(58.4*2+68.6+13.3*10+3.45*4+8.23*2)*2+88.1*3.25-49.7+(24.9*2+18.86*2)*1.5</f>
        <v>1065.225</v>
      </c>
      <c r="H41" s="75">
        <f>(45.15*2+35.9*2)*2.6+74+579.25+252+18*1.5</f>
        <v>1353.71</v>
      </c>
      <c r="I41" s="75">
        <f>1589.66+22.3*2*1.5</f>
        <v>1656.56</v>
      </c>
      <c r="J41" s="75">
        <f>J25+13.6*1.2*2</f>
        <v>489.45466</v>
      </c>
      <c r="K41" s="75">
        <f>1818+3440+1313-K44</f>
        <v>6571</v>
      </c>
      <c r="L41" s="75"/>
      <c r="M41" s="75"/>
      <c r="N41" s="75"/>
      <c r="O41" s="75"/>
      <c r="P41" s="75"/>
      <c r="Q41" s="75"/>
      <c r="R41" s="75"/>
      <c r="S41" s="82"/>
      <c r="T41" s="93"/>
    </row>
    <row r="42" s="3" customFormat="1" ht="25" customHeight="1" outlineLevel="1" spans="1:20">
      <c r="A42" s="69">
        <v>8</v>
      </c>
      <c r="B42" s="58" t="s">
        <v>102</v>
      </c>
      <c r="C42" s="58"/>
      <c r="D42" s="69"/>
      <c r="E42" s="69"/>
      <c r="F42" s="60"/>
      <c r="G42" s="60"/>
      <c r="H42" s="60"/>
      <c r="I42" s="60"/>
      <c r="J42" s="60"/>
      <c r="K42" s="60"/>
      <c r="L42" s="60"/>
      <c r="M42" s="60"/>
      <c r="N42" s="60"/>
      <c r="O42" s="60"/>
      <c r="P42" s="60"/>
      <c r="Q42" s="60"/>
      <c r="R42" s="60"/>
      <c r="S42" s="58"/>
      <c r="T42" s="89"/>
    </row>
    <row r="43" s="3" customFormat="1" ht="146" customHeight="1" outlineLevel="2" spans="1:20">
      <c r="A43" s="72">
        <v>8.1</v>
      </c>
      <c r="B43" s="73" t="s">
        <v>103</v>
      </c>
      <c r="C43" s="73" t="s">
        <v>104</v>
      </c>
      <c r="D43" s="72" t="s">
        <v>49</v>
      </c>
      <c r="E43" s="72" t="s">
        <v>40</v>
      </c>
      <c r="F43" s="75">
        <f t="shared" ref="F43:F49" si="3">SUM(G43:L43)</f>
        <v>79.832</v>
      </c>
      <c r="G43" s="75"/>
      <c r="H43" s="75"/>
      <c r="I43" s="75">
        <f>(94+77+47.9*2)*0.12</f>
        <v>32.016</v>
      </c>
      <c r="J43" s="75"/>
      <c r="K43" s="75">
        <f>(94.8+137)*0.12+20</f>
        <v>47.816</v>
      </c>
      <c r="L43" s="75"/>
      <c r="M43" s="75"/>
      <c r="N43" s="75"/>
      <c r="O43" s="75"/>
      <c r="P43" s="75"/>
      <c r="Q43" s="75"/>
      <c r="R43" s="60"/>
      <c r="S43" s="73"/>
      <c r="T43" s="89"/>
    </row>
    <row r="44" s="3" customFormat="1" ht="146" customHeight="1" outlineLevel="2" spans="1:20">
      <c r="A44" s="72">
        <v>8.2</v>
      </c>
      <c r="B44" s="73" t="s">
        <v>105</v>
      </c>
      <c r="C44" s="73" t="s">
        <v>106</v>
      </c>
      <c r="D44" s="72" t="s">
        <v>49</v>
      </c>
      <c r="E44" s="72" t="s">
        <v>40</v>
      </c>
      <c r="F44" s="75">
        <v>1</v>
      </c>
      <c r="G44" s="75"/>
      <c r="H44" s="75"/>
      <c r="I44" s="75"/>
      <c r="J44" s="75"/>
      <c r="K44" s="75"/>
      <c r="L44" s="75"/>
      <c r="M44" s="75"/>
      <c r="N44" s="75"/>
      <c r="O44" s="75"/>
      <c r="P44" s="75"/>
      <c r="Q44" s="75"/>
      <c r="R44" s="60"/>
      <c r="S44" s="73"/>
      <c r="T44" s="89"/>
    </row>
    <row r="45" s="3" customFormat="1" ht="135" customHeight="1" outlineLevel="2" spans="1:20">
      <c r="A45" s="72">
        <v>8.3</v>
      </c>
      <c r="B45" s="73" t="s">
        <v>107</v>
      </c>
      <c r="C45" s="73" t="s">
        <v>108</v>
      </c>
      <c r="D45" s="72" t="s">
        <v>34</v>
      </c>
      <c r="E45" s="72" t="s">
        <v>35</v>
      </c>
      <c r="F45" s="75">
        <f t="shared" si="3"/>
        <v>316.6796</v>
      </c>
      <c r="G45" s="75"/>
      <c r="H45" s="75">
        <f>(1.53*2)*64+4.19*14.42*2</f>
        <v>316.6796</v>
      </c>
      <c r="I45" s="75"/>
      <c r="J45" s="75"/>
      <c r="K45" s="75"/>
      <c r="L45" s="75"/>
      <c r="M45" s="75"/>
      <c r="N45" s="75" t="s">
        <v>36</v>
      </c>
      <c r="O45" s="75"/>
      <c r="P45" s="75"/>
      <c r="Q45" s="75"/>
      <c r="R45" s="60"/>
      <c r="S45" s="73"/>
      <c r="T45" s="93"/>
    </row>
    <row r="46" s="4" customFormat="1" ht="100" customHeight="1" outlineLevel="2" spans="1:20">
      <c r="A46" s="72">
        <v>8.4</v>
      </c>
      <c r="B46" s="73" t="s">
        <v>109</v>
      </c>
      <c r="C46" s="73" t="s">
        <v>110</v>
      </c>
      <c r="D46" s="72" t="s">
        <v>111</v>
      </c>
      <c r="E46" s="72" t="s">
        <v>112</v>
      </c>
      <c r="F46" s="75">
        <f t="shared" si="3"/>
        <v>606</v>
      </c>
      <c r="G46" s="75">
        <f>14*(4*2+3*2)+2*(4*2+3*2)+21*2</f>
        <v>266</v>
      </c>
      <c r="H46" s="75">
        <f>12*3+2*3</f>
        <v>42</v>
      </c>
      <c r="I46" s="75">
        <f>17*4+3*2</f>
        <v>74</v>
      </c>
      <c r="J46" s="75">
        <f>19*4+2*4</f>
        <v>84</v>
      </c>
      <c r="K46" s="75">
        <f>9*6*2+6*2+9*2+2</f>
        <v>140</v>
      </c>
      <c r="L46" s="75"/>
      <c r="M46" s="75"/>
      <c r="N46" s="75"/>
      <c r="O46" s="75"/>
      <c r="P46" s="75"/>
      <c r="Q46" s="75"/>
      <c r="R46" s="75"/>
      <c r="S46" s="73"/>
      <c r="T46" s="89"/>
    </row>
    <row r="47" s="4" customFormat="1" ht="100" customHeight="1" outlineLevel="2" spans="1:20">
      <c r="A47" s="72">
        <v>8.5</v>
      </c>
      <c r="B47" s="73" t="s">
        <v>113</v>
      </c>
      <c r="C47" s="73" t="s">
        <v>114</v>
      </c>
      <c r="D47" s="72" t="s">
        <v>49</v>
      </c>
      <c r="E47" s="72" t="s">
        <v>40</v>
      </c>
      <c r="F47" s="75">
        <f t="shared" si="3"/>
        <v>124</v>
      </c>
      <c r="G47" s="75"/>
      <c r="H47" s="75"/>
      <c r="I47" s="75">
        <f>155*0.8</f>
        <v>124</v>
      </c>
      <c r="J47" s="75"/>
      <c r="K47" s="75"/>
      <c r="L47" s="75"/>
      <c r="M47" s="75"/>
      <c r="N47" s="75" t="s">
        <v>36</v>
      </c>
      <c r="O47" s="75"/>
      <c r="P47" s="75"/>
      <c r="Q47" s="75"/>
      <c r="R47" s="75"/>
      <c r="S47" s="73"/>
      <c r="T47" s="89"/>
    </row>
    <row r="48" s="4" customFormat="1" ht="100" customHeight="1" outlineLevel="2" spans="1:20">
      <c r="A48" s="72">
        <v>8.6</v>
      </c>
      <c r="B48" s="73" t="s">
        <v>115</v>
      </c>
      <c r="C48" s="73" t="s">
        <v>116</v>
      </c>
      <c r="D48" s="72" t="s">
        <v>49</v>
      </c>
      <c r="E48" s="72" t="s">
        <v>40</v>
      </c>
      <c r="F48" s="75">
        <f t="shared" si="3"/>
        <v>27.96</v>
      </c>
      <c r="G48" s="75">
        <v>24.03</v>
      </c>
      <c r="H48" s="75"/>
      <c r="I48" s="75"/>
      <c r="J48" s="75"/>
      <c r="K48" s="75">
        <v>3.93</v>
      </c>
      <c r="L48" s="75"/>
      <c r="M48" s="75"/>
      <c r="N48" s="75" t="s">
        <v>36</v>
      </c>
      <c r="O48" s="75"/>
      <c r="P48" s="75"/>
      <c r="Q48" s="75"/>
      <c r="R48" s="75"/>
      <c r="S48" s="73"/>
      <c r="T48" s="89"/>
    </row>
    <row r="49" s="4" customFormat="1" ht="100" customHeight="1" outlineLevel="2" spans="1:20">
      <c r="A49" s="72">
        <v>8.7</v>
      </c>
      <c r="B49" s="73" t="s">
        <v>117</v>
      </c>
      <c r="C49" s="73" t="s">
        <v>118</v>
      </c>
      <c r="D49" s="72" t="s">
        <v>119</v>
      </c>
      <c r="E49" s="72" t="s">
        <v>120</v>
      </c>
      <c r="F49" s="75">
        <f t="shared" si="3"/>
        <v>159.56</v>
      </c>
      <c r="G49" s="75"/>
      <c r="H49" s="75"/>
      <c r="I49" s="75"/>
      <c r="J49" s="75">
        <f>(10.52+12.89+16.48)*4</f>
        <v>159.56</v>
      </c>
      <c r="K49" s="75"/>
      <c r="L49" s="75"/>
      <c r="M49" s="75"/>
      <c r="N49" s="75" t="s">
        <v>36</v>
      </c>
      <c r="O49" s="75"/>
      <c r="P49" s="75"/>
      <c r="Q49" s="75"/>
      <c r="R49" s="75"/>
      <c r="S49" s="73"/>
      <c r="T49" s="89"/>
    </row>
    <row r="50" s="3" customFormat="1" ht="25" customHeight="1" spans="1:20">
      <c r="A50" s="69" t="s">
        <v>121</v>
      </c>
      <c r="B50" s="58" t="s">
        <v>122</v>
      </c>
      <c r="C50" s="58"/>
      <c r="D50" s="69"/>
      <c r="E50" s="69"/>
      <c r="F50" s="60"/>
      <c r="G50" s="60"/>
      <c r="H50" s="60"/>
      <c r="I50" s="60"/>
      <c r="J50" s="60"/>
      <c r="K50" s="60"/>
      <c r="L50" s="60"/>
      <c r="M50" s="60"/>
      <c r="N50" s="60"/>
      <c r="O50" s="60"/>
      <c r="P50" s="60"/>
      <c r="Q50" s="60"/>
      <c r="R50" s="60"/>
      <c r="S50" s="58"/>
      <c r="T50" s="89"/>
    </row>
    <row r="51" s="3" customFormat="1" ht="25" customHeight="1" outlineLevel="1" spans="1:20">
      <c r="A51" s="69">
        <v>1</v>
      </c>
      <c r="B51" s="58" t="s">
        <v>123</v>
      </c>
      <c r="C51" s="58"/>
      <c r="D51" s="69"/>
      <c r="E51" s="69"/>
      <c r="F51" s="60"/>
      <c r="G51" s="60"/>
      <c r="H51" s="60"/>
      <c r="I51" s="60"/>
      <c r="J51" s="60"/>
      <c r="K51" s="60"/>
      <c r="L51" s="60"/>
      <c r="M51" s="60"/>
      <c r="N51" s="60"/>
      <c r="O51" s="60"/>
      <c r="P51" s="60"/>
      <c r="Q51" s="60"/>
      <c r="R51" s="60"/>
      <c r="S51" s="58"/>
      <c r="T51" s="89"/>
    </row>
    <row r="52" s="3" customFormat="1" ht="83" customHeight="1" outlineLevel="1" spans="1:20">
      <c r="A52" s="72">
        <v>1.1</v>
      </c>
      <c r="B52" s="73" t="s">
        <v>124</v>
      </c>
      <c r="C52" s="82" t="s">
        <v>125</v>
      </c>
      <c r="D52" s="83" t="s">
        <v>126</v>
      </c>
      <c r="E52" s="84" t="s">
        <v>40</v>
      </c>
      <c r="F52" s="75">
        <v>7550</v>
      </c>
      <c r="G52" s="60"/>
      <c r="H52" s="60"/>
      <c r="I52" s="60"/>
      <c r="J52" s="60"/>
      <c r="K52" s="60"/>
      <c r="L52" s="60"/>
      <c r="M52" s="60"/>
      <c r="N52" s="75" t="s">
        <v>36</v>
      </c>
      <c r="O52" s="60"/>
      <c r="P52" s="60"/>
      <c r="Q52" s="60"/>
      <c r="R52" s="60"/>
      <c r="S52" s="58"/>
      <c r="T52" s="89"/>
    </row>
    <row r="53" s="3" customFormat="1" ht="66" customHeight="1" outlineLevel="1" spans="1:20">
      <c r="A53" s="72">
        <v>1.2</v>
      </c>
      <c r="B53" s="73" t="s">
        <v>127</v>
      </c>
      <c r="C53" s="82" t="s">
        <v>128</v>
      </c>
      <c r="D53" s="83" t="s">
        <v>126</v>
      </c>
      <c r="E53" s="84" t="s">
        <v>40</v>
      </c>
      <c r="F53" s="75">
        <f>7550*1.05</f>
        <v>7927.5</v>
      </c>
      <c r="G53" s="60"/>
      <c r="H53" s="60"/>
      <c r="I53" s="60"/>
      <c r="J53" s="60"/>
      <c r="K53" s="60"/>
      <c r="L53" s="60"/>
      <c r="M53" s="60"/>
      <c r="N53" s="75" t="s">
        <v>36</v>
      </c>
      <c r="O53" s="60"/>
      <c r="P53" s="60"/>
      <c r="Q53" s="60"/>
      <c r="R53" s="60"/>
      <c r="S53" s="58"/>
      <c r="T53" s="89"/>
    </row>
    <row r="54" s="3" customFormat="1" ht="51" customHeight="1" outlineLevel="1" spans="1:20">
      <c r="A54" s="72">
        <v>1.3</v>
      </c>
      <c r="B54" s="73" t="s">
        <v>127</v>
      </c>
      <c r="C54" s="82" t="s">
        <v>129</v>
      </c>
      <c r="D54" s="83" t="s">
        <v>126</v>
      </c>
      <c r="E54" s="84" t="s">
        <v>40</v>
      </c>
      <c r="F54" s="75">
        <v>968</v>
      </c>
      <c r="G54" s="60"/>
      <c r="H54" s="60"/>
      <c r="I54" s="60"/>
      <c r="J54" s="60"/>
      <c r="K54" s="60"/>
      <c r="L54" s="60"/>
      <c r="M54" s="60"/>
      <c r="N54" s="75" t="s">
        <v>36</v>
      </c>
      <c r="O54" s="60"/>
      <c r="P54" s="60"/>
      <c r="Q54" s="60"/>
      <c r="R54" s="60"/>
      <c r="S54" s="58"/>
      <c r="T54" s="89"/>
    </row>
    <row r="55" s="3" customFormat="1" ht="83" customHeight="1" outlineLevel="1" spans="1:20">
      <c r="A55" s="72">
        <v>1.4</v>
      </c>
      <c r="B55" s="73" t="s">
        <v>130</v>
      </c>
      <c r="C55" s="82" t="s">
        <v>131</v>
      </c>
      <c r="D55" s="83" t="s">
        <v>126</v>
      </c>
      <c r="E55" s="84" t="s">
        <v>40</v>
      </c>
      <c r="F55" s="75">
        <v>968</v>
      </c>
      <c r="G55" s="60"/>
      <c r="H55" s="60"/>
      <c r="I55" s="60"/>
      <c r="J55" s="60"/>
      <c r="K55" s="60"/>
      <c r="L55" s="60"/>
      <c r="M55" s="60"/>
      <c r="N55" s="75"/>
      <c r="O55" s="60"/>
      <c r="P55" s="60"/>
      <c r="Q55" s="60"/>
      <c r="R55" s="60"/>
      <c r="S55" s="58" t="s">
        <v>132</v>
      </c>
      <c r="T55" s="89"/>
    </row>
    <row r="56" s="3" customFormat="1" ht="83" customHeight="1" outlineLevel="1" spans="1:20">
      <c r="A56" s="72">
        <v>1.5</v>
      </c>
      <c r="B56" s="73" t="s">
        <v>133</v>
      </c>
      <c r="C56" s="82" t="s">
        <v>134</v>
      </c>
      <c r="D56" s="83" t="s">
        <v>126</v>
      </c>
      <c r="E56" s="84" t="s">
        <v>40</v>
      </c>
      <c r="F56" s="75">
        <v>145</v>
      </c>
      <c r="G56" s="60"/>
      <c r="H56" s="60"/>
      <c r="I56" s="60"/>
      <c r="J56" s="60"/>
      <c r="K56" s="60"/>
      <c r="L56" s="60"/>
      <c r="M56" s="60"/>
      <c r="N56" s="60"/>
      <c r="O56" s="60"/>
      <c r="P56" s="60"/>
      <c r="Q56" s="60"/>
      <c r="R56" s="60"/>
      <c r="S56" s="58" t="s">
        <v>132</v>
      </c>
      <c r="T56" s="52"/>
    </row>
    <row r="57" s="1" customFormat="1" ht="75" customHeight="1" outlineLevel="1" spans="1:20">
      <c r="A57" s="72">
        <v>1.6</v>
      </c>
      <c r="B57" s="73" t="s">
        <v>135</v>
      </c>
      <c r="C57" s="82" t="s">
        <v>136</v>
      </c>
      <c r="D57" s="83" t="s">
        <v>137</v>
      </c>
      <c r="E57" s="84" t="s">
        <v>120</v>
      </c>
      <c r="F57" s="75">
        <v>1162</v>
      </c>
      <c r="G57" s="75"/>
      <c r="H57" s="75"/>
      <c r="I57" s="75"/>
      <c r="J57" s="75"/>
      <c r="K57" s="75"/>
      <c r="L57" s="75"/>
      <c r="M57" s="75"/>
      <c r="N57" s="75"/>
      <c r="O57" s="87"/>
      <c r="P57" s="75"/>
      <c r="Q57" s="75"/>
      <c r="R57" s="75"/>
      <c r="S57" s="58" t="s">
        <v>132</v>
      </c>
      <c r="T57" s="67"/>
    </row>
    <row r="58" s="1" customFormat="1" ht="75" customHeight="1" outlineLevel="1" spans="1:20">
      <c r="A58" s="72">
        <v>2</v>
      </c>
      <c r="B58" s="58" t="s">
        <v>138</v>
      </c>
      <c r="C58" s="85"/>
      <c r="D58" s="83"/>
      <c r="E58" s="84"/>
      <c r="F58" s="75"/>
      <c r="G58" s="75"/>
      <c r="H58" s="75"/>
      <c r="I58" s="75"/>
      <c r="J58" s="75"/>
      <c r="K58" s="75"/>
      <c r="L58" s="75"/>
      <c r="M58" s="75"/>
      <c r="N58" s="87"/>
      <c r="O58" s="87"/>
      <c r="P58" s="75"/>
      <c r="Q58" s="75"/>
      <c r="R58" s="75"/>
      <c r="S58" s="94"/>
      <c r="T58" s="67"/>
    </row>
    <row r="59" s="1" customFormat="1" ht="75" customHeight="1" outlineLevel="1" spans="1:20">
      <c r="A59" s="72">
        <v>2.1</v>
      </c>
      <c r="B59" s="73" t="s">
        <v>139</v>
      </c>
      <c r="C59" s="82" t="s">
        <v>140</v>
      </c>
      <c r="D59" s="83" t="s">
        <v>67</v>
      </c>
      <c r="E59" s="84" t="s">
        <v>35</v>
      </c>
      <c r="F59" s="75">
        <f t="shared" ref="F59:F68" si="4">SUM(G59:L59)</f>
        <v>599.616</v>
      </c>
      <c r="G59" s="75">
        <f>(0.2*3.7+2.3*0.1)*(15.34+4.7+1.7+17)+2.1*1.7*0.1</f>
        <v>37.9348</v>
      </c>
      <c r="H59" s="75">
        <f>(30*2+1.5*2)*0.8*0.2+30*1.9*0.2+30*2.1*0.1</f>
        <v>27.78</v>
      </c>
      <c r="I59" s="75">
        <f>(18.3*3+2.6*2)*1.5*0.2+18.3*3*0.2+18.3*3.2*0.1</f>
        <v>34.866</v>
      </c>
      <c r="J59" s="75">
        <f>((10*2+1.5*2)*1.5*0.2+10*1.9*0.2+10*2.1*0.1)*3</f>
        <v>38.4</v>
      </c>
      <c r="K59" s="75"/>
      <c r="L59" s="75">
        <f>(0.25+1.2*0.1+0.24*0.37)*1004</f>
        <v>460.6352</v>
      </c>
      <c r="M59" s="75"/>
      <c r="N59" s="75" t="s">
        <v>36</v>
      </c>
      <c r="O59" s="87"/>
      <c r="P59" s="75"/>
      <c r="Q59" s="75"/>
      <c r="R59" s="75"/>
      <c r="S59" s="94"/>
      <c r="T59" s="67"/>
    </row>
    <row r="60" s="1" customFormat="1" ht="75" customHeight="1" outlineLevel="1" spans="1:20">
      <c r="A60" s="72">
        <v>2.2</v>
      </c>
      <c r="B60" s="73" t="s">
        <v>141</v>
      </c>
      <c r="C60" s="85" t="s">
        <v>142</v>
      </c>
      <c r="D60" s="72" t="s">
        <v>49</v>
      </c>
      <c r="E60" s="72" t="s">
        <v>40</v>
      </c>
      <c r="F60" s="75">
        <f t="shared" si="4"/>
        <v>510.688</v>
      </c>
      <c r="G60" s="75">
        <f>(3.7)*(15.34+4.7+1.7+17)</f>
        <v>143.338</v>
      </c>
      <c r="H60" s="75">
        <f>(30*2+1.5*2)*0.8+30*1.9</f>
        <v>107.4</v>
      </c>
      <c r="I60" s="75">
        <f>(18.3*3+2.6*2)*1.5+18.3*3</f>
        <v>145.05</v>
      </c>
      <c r="J60" s="75">
        <f>((10*2+1.5*2)*1.5+10*1.9*0.2)*3</f>
        <v>114.9</v>
      </c>
      <c r="K60" s="75"/>
      <c r="L60" s="75"/>
      <c r="M60" s="75"/>
      <c r="N60" s="75" t="s">
        <v>36</v>
      </c>
      <c r="O60" s="87"/>
      <c r="P60" s="75"/>
      <c r="Q60" s="75"/>
      <c r="R60" s="75"/>
      <c r="S60" s="94"/>
      <c r="T60" s="67"/>
    </row>
    <row r="61" s="1" customFormat="1" ht="94" customHeight="1" outlineLevel="1" spans="1:20">
      <c r="A61" s="72">
        <v>2.3</v>
      </c>
      <c r="B61" s="73" t="s">
        <v>143</v>
      </c>
      <c r="C61" s="82" t="s">
        <v>144</v>
      </c>
      <c r="D61" s="83" t="s">
        <v>145</v>
      </c>
      <c r="E61" s="84" t="s">
        <v>120</v>
      </c>
      <c r="F61" s="75">
        <f t="shared" si="4"/>
        <v>22.8</v>
      </c>
      <c r="G61" s="75"/>
      <c r="H61" s="75"/>
      <c r="I61" s="75"/>
      <c r="J61" s="75"/>
      <c r="K61" s="75"/>
      <c r="L61" s="75">
        <f>11.4*2</f>
        <v>22.8</v>
      </c>
      <c r="M61" s="75"/>
      <c r="N61" s="75" t="s">
        <v>36</v>
      </c>
      <c r="O61" s="75"/>
      <c r="P61" s="75"/>
      <c r="Q61" s="75"/>
      <c r="R61" s="75"/>
      <c r="S61" s="94"/>
      <c r="T61" s="67"/>
    </row>
    <row r="62" s="1" customFormat="1" ht="96" customHeight="1" outlineLevel="1" spans="1:20">
      <c r="A62" s="72">
        <v>2.4</v>
      </c>
      <c r="B62" s="73" t="s">
        <v>146</v>
      </c>
      <c r="C62" s="73" t="s">
        <v>147</v>
      </c>
      <c r="D62" s="72" t="s">
        <v>67</v>
      </c>
      <c r="E62" s="72" t="s">
        <v>35</v>
      </c>
      <c r="F62" s="75">
        <f t="shared" si="4"/>
        <v>63.61344</v>
      </c>
      <c r="G62" s="75"/>
      <c r="H62" s="75"/>
      <c r="I62" s="75"/>
      <c r="J62" s="75"/>
      <c r="K62" s="75"/>
      <c r="L62" s="75">
        <v>63.61344</v>
      </c>
      <c r="M62" s="75"/>
      <c r="N62" s="75" t="s">
        <v>36</v>
      </c>
      <c r="O62" s="75"/>
      <c r="P62" s="75"/>
      <c r="Q62" s="75"/>
      <c r="R62" s="75"/>
      <c r="S62" s="94"/>
      <c r="T62" s="67"/>
    </row>
    <row r="63" s="1" customFormat="1" ht="96" customHeight="1" outlineLevel="1" spans="1:20">
      <c r="A63" s="72">
        <v>2.5</v>
      </c>
      <c r="B63" s="73" t="s">
        <v>148</v>
      </c>
      <c r="C63" s="76" t="s">
        <v>149</v>
      </c>
      <c r="D63" s="72" t="s">
        <v>49</v>
      </c>
      <c r="E63" s="72" t="s">
        <v>35</v>
      </c>
      <c r="F63" s="75">
        <f t="shared" si="4"/>
        <v>308.50912</v>
      </c>
      <c r="G63" s="75"/>
      <c r="H63" s="75"/>
      <c r="I63" s="75"/>
      <c r="J63" s="75"/>
      <c r="K63" s="75"/>
      <c r="L63" s="75">
        <v>308.50912</v>
      </c>
      <c r="M63" s="75"/>
      <c r="N63" s="75" t="s">
        <v>36</v>
      </c>
      <c r="O63" s="75"/>
      <c r="P63" s="75"/>
      <c r="Q63" s="75"/>
      <c r="R63" s="75"/>
      <c r="S63" s="94"/>
      <c r="T63" s="67"/>
    </row>
    <row r="64" s="1" customFormat="1" ht="96" customHeight="1" outlineLevel="1" spans="1:20">
      <c r="A64" s="72">
        <v>2.6</v>
      </c>
      <c r="B64" s="73" t="s">
        <v>150</v>
      </c>
      <c r="C64" s="82" t="s">
        <v>142</v>
      </c>
      <c r="D64" s="72" t="s">
        <v>49</v>
      </c>
      <c r="E64" s="72" t="s">
        <v>40</v>
      </c>
      <c r="F64" s="75">
        <f t="shared" si="4"/>
        <v>3721.2256</v>
      </c>
      <c r="G64" s="75"/>
      <c r="H64" s="75"/>
      <c r="I64" s="75"/>
      <c r="J64" s="75"/>
      <c r="K64" s="75"/>
      <c r="L64" s="75">
        <v>3721.2256</v>
      </c>
      <c r="M64" s="75"/>
      <c r="N64" s="75" t="s">
        <v>36</v>
      </c>
      <c r="O64" s="75"/>
      <c r="P64" s="75"/>
      <c r="Q64" s="75"/>
      <c r="R64" s="75"/>
      <c r="S64" s="94"/>
      <c r="T64" s="67"/>
    </row>
    <row r="65" s="1" customFormat="1" ht="96" customHeight="1" outlineLevel="1" spans="1:20">
      <c r="A65" s="72">
        <v>2.7</v>
      </c>
      <c r="B65" s="73" t="s">
        <v>151</v>
      </c>
      <c r="C65" s="73" t="s">
        <v>152</v>
      </c>
      <c r="D65" s="72" t="s">
        <v>49</v>
      </c>
      <c r="E65" s="72" t="s">
        <v>40</v>
      </c>
      <c r="F65" s="75">
        <f t="shared" si="4"/>
        <v>3721.2256</v>
      </c>
      <c r="G65" s="75"/>
      <c r="H65" s="75"/>
      <c r="I65" s="75"/>
      <c r="J65" s="75"/>
      <c r="K65" s="75"/>
      <c r="L65" s="75">
        <v>3721.2256</v>
      </c>
      <c r="M65" s="75"/>
      <c r="N65" s="75"/>
      <c r="O65" s="75"/>
      <c r="P65" s="75"/>
      <c r="Q65" s="75"/>
      <c r="R65" s="75"/>
      <c r="S65" s="94"/>
      <c r="T65" s="67"/>
    </row>
    <row r="66" s="1" customFormat="1" ht="96" customHeight="1" outlineLevel="1" spans="1:20">
      <c r="A66" s="72">
        <v>2.8</v>
      </c>
      <c r="B66" s="73" t="s">
        <v>153</v>
      </c>
      <c r="C66" s="95" t="s">
        <v>154</v>
      </c>
      <c r="D66" s="72" t="s">
        <v>67</v>
      </c>
      <c r="E66" s="72" t="s">
        <v>35</v>
      </c>
      <c r="F66" s="75">
        <f t="shared" si="4"/>
        <v>215.688</v>
      </c>
      <c r="G66" s="75"/>
      <c r="H66" s="75"/>
      <c r="I66" s="75"/>
      <c r="J66" s="75"/>
      <c r="K66" s="75"/>
      <c r="L66" s="75">
        <v>215.688</v>
      </c>
      <c r="M66" s="75"/>
      <c r="N66" s="75" t="s">
        <v>36</v>
      </c>
      <c r="O66" s="75"/>
      <c r="P66" s="75"/>
      <c r="Q66" s="75"/>
      <c r="R66" s="75"/>
      <c r="S66" s="94"/>
      <c r="T66" s="67"/>
    </row>
    <row r="67" s="1" customFormat="1" ht="96" customHeight="1" outlineLevel="1" spans="1:20">
      <c r="A67" s="72">
        <v>2.9</v>
      </c>
      <c r="B67" s="73" t="s">
        <v>155</v>
      </c>
      <c r="C67" s="82" t="s">
        <v>142</v>
      </c>
      <c r="D67" s="72" t="s">
        <v>49</v>
      </c>
      <c r="E67" s="72" t="s">
        <v>40</v>
      </c>
      <c r="F67" s="75">
        <f t="shared" si="4"/>
        <v>1191.96</v>
      </c>
      <c r="G67" s="75"/>
      <c r="H67" s="75"/>
      <c r="I67" s="75"/>
      <c r="J67" s="75"/>
      <c r="K67" s="75"/>
      <c r="L67" s="75">
        <v>1191.96</v>
      </c>
      <c r="M67" s="75"/>
      <c r="N67" s="75" t="s">
        <v>36</v>
      </c>
      <c r="O67" s="75"/>
      <c r="P67" s="75"/>
      <c r="Q67" s="75"/>
      <c r="R67" s="75"/>
      <c r="S67" s="94"/>
      <c r="T67" s="67"/>
    </row>
    <row r="68" s="1" customFormat="1" ht="96" customHeight="1" outlineLevel="1" spans="1:20">
      <c r="A68" s="75">
        <v>2.1</v>
      </c>
      <c r="B68" s="73" t="s">
        <v>156</v>
      </c>
      <c r="C68" s="85" t="s">
        <v>157</v>
      </c>
      <c r="D68" s="72" t="s">
        <v>49</v>
      </c>
      <c r="E68" s="72" t="s">
        <v>158</v>
      </c>
      <c r="F68" s="75">
        <v>227</v>
      </c>
      <c r="G68" s="75"/>
      <c r="H68" s="75"/>
      <c r="I68" s="75"/>
      <c r="J68" s="75"/>
      <c r="K68" s="75"/>
      <c r="L68" s="75">
        <v>227</v>
      </c>
      <c r="M68" s="75"/>
      <c r="N68" s="75"/>
      <c r="O68" s="75"/>
      <c r="P68" s="75"/>
      <c r="Q68" s="75"/>
      <c r="R68" s="75"/>
      <c r="S68" s="94"/>
      <c r="T68" s="67"/>
    </row>
    <row r="69" s="1" customFormat="1" ht="96" customHeight="1" outlineLevel="1" spans="1:20">
      <c r="A69" s="75">
        <v>2.11</v>
      </c>
      <c r="B69" s="73" t="s">
        <v>159</v>
      </c>
      <c r="C69" s="95" t="s">
        <v>160</v>
      </c>
      <c r="D69" s="72" t="s">
        <v>49</v>
      </c>
      <c r="E69" s="72" t="s">
        <v>158</v>
      </c>
      <c r="F69" s="75">
        <v>10</v>
      </c>
      <c r="G69" s="75"/>
      <c r="H69" s="75"/>
      <c r="I69" s="75"/>
      <c r="J69" s="75"/>
      <c r="K69" s="75"/>
      <c r="L69" s="75">
        <v>10</v>
      </c>
      <c r="M69" s="75"/>
      <c r="N69" s="75"/>
      <c r="O69" s="75"/>
      <c r="P69" s="75"/>
      <c r="Q69" s="75"/>
      <c r="R69" s="75"/>
      <c r="S69" s="58" t="s">
        <v>132</v>
      </c>
      <c r="T69" s="67"/>
    </row>
    <row r="70" s="1" customFormat="1" ht="39" customHeight="1" outlineLevel="1" spans="1:20">
      <c r="A70" s="69">
        <v>3</v>
      </c>
      <c r="B70" s="58" t="s">
        <v>161</v>
      </c>
      <c r="C70" s="95"/>
      <c r="D70" s="72"/>
      <c r="E70" s="72"/>
      <c r="F70" s="75"/>
      <c r="G70" s="75"/>
      <c r="H70" s="75"/>
      <c r="I70" s="75"/>
      <c r="J70" s="75"/>
      <c r="K70" s="75"/>
      <c r="L70" s="75"/>
      <c r="M70" s="75"/>
      <c r="N70" s="75"/>
      <c r="O70" s="75"/>
      <c r="P70" s="75"/>
      <c r="Q70" s="75"/>
      <c r="R70" s="75"/>
      <c r="S70" s="94"/>
      <c r="T70" s="67"/>
    </row>
    <row r="71" s="1" customFormat="1" ht="60" customHeight="1" outlineLevel="1" spans="1:20">
      <c r="A71" s="72">
        <v>3.1</v>
      </c>
      <c r="B71" s="73" t="s">
        <v>162</v>
      </c>
      <c r="C71" s="95" t="s">
        <v>163</v>
      </c>
      <c r="D71" s="72" t="s">
        <v>49</v>
      </c>
      <c r="E71" s="72" t="s">
        <v>40</v>
      </c>
      <c r="F71" s="75">
        <f t="shared" ref="F71:F76" si="5">SUM(G71:L71)</f>
        <v>5830</v>
      </c>
      <c r="G71" s="75"/>
      <c r="H71" s="75"/>
      <c r="I71" s="75"/>
      <c r="J71" s="75"/>
      <c r="K71" s="75"/>
      <c r="L71" s="75">
        <f>181+174+285+1178+330+418+323+251+214+258+358+828+1032</f>
        <v>5830</v>
      </c>
      <c r="M71" s="75"/>
      <c r="N71" s="75"/>
      <c r="O71" s="75"/>
      <c r="P71" s="75"/>
      <c r="Q71" s="75"/>
      <c r="R71" s="75"/>
      <c r="S71" s="94"/>
      <c r="T71" s="67"/>
    </row>
    <row r="72" s="3" customFormat="1" ht="25" customHeight="1" spans="1:20">
      <c r="A72" s="69" t="s">
        <v>164</v>
      </c>
      <c r="B72" s="58" t="s">
        <v>165</v>
      </c>
      <c r="C72" s="58"/>
      <c r="D72" s="69"/>
      <c r="E72" s="69"/>
      <c r="F72" s="60"/>
      <c r="G72" s="60"/>
      <c r="H72" s="60"/>
      <c r="I72" s="60"/>
      <c r="J72" s="60"/>
      <c r="K72" s="60"/>
      <c r="L72" s="60"/>
      <c r="M72" s="60"/>
      <c r="N72" s="60"/>
      <c r="O72" s="60"/>
      <c r="P72" s="60"/>
      <c r="Q72" s="60"/>
      <c r="R72" s="60"/>
      <c r="S72" s="58"/>
      <c r="T72" s="89"/>
    </row>
    <row r="73" s="3" customFormat="1" ht="45" customHeight="1" outlineLevel="1" spans="1:20">
      <c r="A73" s="72">
        <v>1</v>
      </c>
      <c r="B73" s="96" t="s">
        <v>166</v>
      </c>
      <c r="C73" s="73" t="s">
        <v>167</v>
      </c>
      <c r="D73" s="72" t="s">
        <v>168</v>
      </c>
      <c r="E73" s="96" t="s">
        <v>40</v>
      </c>
      <c r="F73" s="75">
        <v>1</v>
      </c>
      <c r="G73" s="60"/>
      <c r="H73" s="60"/>
      <c r="I73" s="60"/>
      <c r="J73" s="60"/>
      <c r="K73" s="60"/>
      <c r="L73" s="60"/>
      <c r="M73" s="60"/>
      <c r="N73" s="75" t="s">
        <v>36</v>
      </c>
      <c r="O73" s="75"/>
      <c r="P73" s="60"/>
      <c r="Q73" s="60"/>
      <c r="R73" s="60"/>
      <c r="S73" s="58"/>
      <c r="T73" s="89"/>
    </row>
    <row r="74" s="3" customFormat="1" ht="37" customHeight="1" outlineLevel="1" spans="1:20">
      <c r="A74" s="72">
        <v>2</v>
      </c>
      <c r="B74" s="96" t="s">
        <v>169</v>
      </c>
      <c r="C74" s="73" t="s">
        <v>167</v>
      </c>
      <c r="D74" s="72" t="s">
        <v>170</v>
      </c>
      <c r="E74" s="96" t="s">
        <v>40</v>
      </c>
      <c r="F74" s="75">
        <f t="shared" si="5"/>
        <v>1677.816</v>
      </c>
      <c r="G74" s="75">
        <f>422.39*1.2</f>
        <v>506.868</v>
      </c>
      <c r="H74" s="75">
        <f>333.33*1.2</f>
        <v>399.996</v>
      </c>
      <c r="I74" s="75">
        <f>154.7*1.2</f>
        <v>185.64</v>
      </c>
      <c r="J74" s="75">
        <f>71.94*1.2*4</f>
        <v>345.312</v>
      </c>
      <c r="K74" s="75">
        <f>200*1.2</f>
        <v>240</v>
      </c>
      <c r="L74" s="60"/>
      <c r="M74" s="60"/>
      <c r="N74" s="75" t="s">
        <v>36</v>
      </c>
      <c r="O74" s="75"/>
      <c r="P74" s="60"/>
      <c r="Q74" s="60"/>
      <c r="R74" s="60"/>
      <c r="S74" s="58"/>
      <c r="T74" s="89"/>
    </row>
    <row r="75" s="3" customFormat="1" ht="45" customHeight="1" outlineLevel="1" spans="1:20">
      <c r="A75" s="72">
        <v>3</v>
      </c>
      <c r="B75" s="97" t="s">
        <v>171</v>
      </c>
      <c r="C75" s="73" t="s">
        <v>167</v>
      </c>
      <c r="D75" s="72" t="s">
        <v>172</v>
      </c>
      <c r="E75" s="96" t="s">
        <v>158</v>
      </c>
      <c r="F75" s="75">
        <f t="shared" si="5"/>
        <v>9</v>
      </c>
      <c r="G75" s="60"/>
      <c r="H75" s="60"/>
      <c r="I75" s="60"/>
      <c r="J75" s="60"/>
      <c r="K75" s="75">
        <v>9</v>
      </c>
      <c r="L75" s="60"/>
      <c r="M75" s="60"/>
      <c r="N75" s="75" t="s">
        <v>36</v>
      </c>
      <c r="O75" s="75"/>
      <c r="P75" s="60"/>
      <c r="Q75" s="60"/>
      <c r="R75" s="60"/>
      <c r="S75" s="73" t="s">
        <v>173</v>
      </c>
      <c r="T75" s="89"/>
    </row>
    <row r="76" s="3" customFormat="1" ht="37" customHeight="1" outlineLevel="1" spans="1:20">
      <c r="A76" s="72">
        <v>4</v>
      </c>
      <c r="B76" s="96" t="s">
        <v>174</v>
      </c>
      <c r="C76" s="73" t="s">
        <v>175</v>
      </c>
      <c r="D76" s="72" t="s">
        <v>145</v>
      </c>
      <c r="E76" s="96" t="s">
        <v>120</v>
      </c>
      <c r="F76" s="75">
        <f t="shared" si="5"/>
        <v>256</v>
      </c>
      <c r="G76" s="60"/>
      <c r="H76" s="60"/>
      <c r="I76" s="60"/>
      <c r="J76" s="60"/>
      <c r="K76" s="75">
        <v>256</v>
      </c>
      <c r="L76" s="60"/>
      <c r="M76" s="60"/>
      <c r="N76" s="75" t="s">
        <v>36</v>
      </c>
      <c r="O76" s="75"/>
      <c r="P76" s="60"/>
      <c r="Q76" s="60"/>
      <c r="R76" s="60"/>
      <c r="S76" s="58"/>
      <c r="T76" s="89"/>
    </row>
    <row r="77" s="3" customFormat="1" ht="37" customHeight="1" outlineLevel="1" spans="1:20">
      <c r="A77" s="72">
        <v>5</v>
      </c>
      <c r="B77" s="72" t="s">
        <v>176</v>
      </c>
      <c r="C77" s="73" t="s">
        <v>177</v>
      </c>
      <c r="D77" s="72" t="s">
        <v>178</v>
      </c>
      <c r="E77" s="96" t="s">
        <v>40</v>
      </c>
      <c r="F77" s="75">
        <v>1</v>
      </c>
      <c r="G77" s="60"/>
      <c r="H77" s="60"/>
      <c r="I77" s="60"/>
      <c r="J77" s="60"/>
      <c r="K77" s="60"/>
      <c r="L77" s="60"/>
      <c r="M77" s="60"/>
      <c r="N77" s="75" t="s">
        <v>36</v>
      </c>
      <c r="O77" s="75"/>
      <c r="P77" s="60"/>
      <c r="Q77" s="60"/>
      <c r="R77" s="60"/>
      <c r="S77" s="58"/>
      <c r="T77" s="89"/>
    </row>
    <row r="78" s="3" customFormat="1" ht="37" customHeight="1" outlineLevel="1" spans="1:20">
      <c r="A78" s="72">
        <v>6</v>
      </c>
      <c r="B78" s="72" t="s">
        <v>179</v>
      </c>
      <c r="C78" s="73" t="s">
        <v>180</v>
      </c>
      <c r="D78" s="72" t="s">
        <v>178</v>
      </c>
      <c r="E78" s="96" t="s">
        <v>40</v>
      </c>
      <c r="F78" s="75">
        <v>1</v>
      </c>
      <c r="G78" s="60"/>
      <c r="H78" s="60"/>
      <c r="I78" s="60"/>
      <c r="J78" s="60"/>
      <c r="K78" s="60"/>
      <c r="L78" s="60"/>
      <c r="M78" s="60"/>
      <c r="N78" s="75" t="s">
        <v>36</v>
      </c>
      <c r="O78" s="75"/>
      <c r="P78" s="60"/>
      <c r="Q78" s="60"/>
      <c r="R78" s="60"/>
      <c r="S78" s="58"/>
      <c r="T78" s="89"/>
    </row>
    <row r="79" s="3" customFormat="1" ht="37" customHeight="1" outlineLevel="1" spans="1:20">
      <c r="A79" s="72">
        <v>7</v>
      </c>
      <c r="B79" s="72" t="s">
        <v>181</v>
      </c>
      <c r="C79" s="73" t="s">
        <v>182</v>
      </c>
      <c r="D79" s="72" t="s">
        <v>183</v>
      </c>
      <c r="E79" s="96" t="s">
        <v>35</v>
      </c>
      <c r="F79" s="75">
        <v>1</v>
      </c>
      <c r="G79" s="60"/>
      <c r="H79" s="60"/>
      <c r="I79" s="60"/>
      <c r="J79" s="60"/>
      <c r="K79" s="60"/>
      <c r="L79" s="60"/>
      <c r="M79" s="60"/>
      <c r="N79" s="75" t="s">
        <v>36</v>
      </c>
      <c r="O79" s="75"/>
      <c r="P79" s="60"/>
      <c r="Q79" s="60"/>
      <c r="R79" s="60"/>
      <c r="S79" s="58"/>
      <c r="T79" s="89"/>
    </row>
    <row r="80" s="3" customFormat="1" ht="27" customHeight="1" spans="1:20">
      <c r="A80" s="69" t="s">
        <v>184</v>
      </c>
      <c r="B80" s="58" t="s">
        <v>185</v>
      </c>
      <c r="C80" s="58"/>
      <c r="D80" s="69"/>
      <c r="E80" s="69"/>
      <c r="F80" s="60"/>
      <c r="G80" s="60"/>
      <c r="H80" s="60"/>
      <c r="I80" s="60"/>
      <c r="J80" s="60"/>
      <c r="K80" s="60"/>
      <c r="L80" s="60"/>
      <c r="M80" s="60"/>
      <c r="N80" s="60"/>
      <c r="O80" s="60"/>
      <c r="P80" s="60"/>
      <c r="Q80" s="60"/>
      <c r="R80" s="60"/>
      <c r="S80" s="58"/>
      <c r="T80" s="89"/>
    </row>
    <row r="81" s="1" customFormat="1" ht="25" customHeight="1" outlineLevel="1" spans="1:20">
      <c r="A81" s="72">
        <v>1</v>
      </c>
      <c r="B81" s="73" t="s">
        <v>186</v>
      </c>
      <c r="C81" s="73"/>
      <c r="D81" s="72"/>
      <c r="E81" s="84" t="s">
        <v>187</v>
      </c>
      <c r="F81" s="75">
        <v>1</v>
      </c>
      <c r="G81" s="98"/>
      <c r="H81" s="98"/>
      <c r="I81" s="98"/>
      <c r="J81" s="98"/>
      <c r="K81" s="98"/>
      <c r="L81" s="98"/>
      <c r="M81" s="98"/>
      <c r="N81" s="98"/>
      <c r="O81" s="98"/>
      <c r="P81" s="98"/>
      <c r="Q81" s="98"/>
      <c r="R81" s="98"/>
      <c r="S81" s="61" t="s">
        <v>188</v>
      </c>
      <c r="T81" s="67"/>
    </row>
    <row r="82" s="1" customFormat="1" ht="25" customHeight="1" outlineLevel="1" spans="1:20">
      <c r="A82" s="72">
        <v>2</v>
      </c>
      <c r="B82" s="73" t="s">
        <v>189</v>
      </c>
      <c r="C82" s="73"/>
      <c r="D82" s="72"/>
      <c r="E82" s="84" t="s">
        <v>187</v>
      </c>
      <c r="F82" s="75">
        <v>1</v>
      </c>
      <c r="G82" s="98"/>
      <c r="H82" s="98"/>
      <c r="I82" s="98"/>
      <c r="J82" s="98"/>
      <c r="K82" s="98"/>
      <c r="L82" s="98"/>
      <c r="M82" s="98"/>
      <c r="N82" s="98"/>
      <c r="O82" s="98"/>
      <c r="P82" s="98"/>
      <c r="Q82" s="98"/>
      <c r="R82" s="98"/>
      <c r="S82" s="62"/>
      <c r="T82" s="67"/>
    </row>
    <row r="83" s="1" customFormat="1" ht="25" customHeight="1" outlineLevel="1" spans="1:20">
      <c r="A83" s="72">
        <v>3</v>
      </c>
      <c r="B83" s="73" t="s">
        <v>190</v>
      </c>
      <c r="C83" s="73"/>
      <c r="D83" s="72"/>
      <c r="E83" s="84" t="s">
        <v>187</v>
      </c>
      <c r="F83" s="75">
        <v>1</v>
      </c>
      <c r="G83" s="98"/>
      <c r="H83" s="98"/>
      <c r="I83" s="98"/>
      <c r="J83" s="98"/>
      <c r="K83" s="98"/>
      <c r="L83" s="98"/>
      <c r="M83" s="98"/>
      <c r="N83" s="98"/>
      <c r="O83" s="98"/>
      <c r="P83" s="98"/>
      <c r="Q83" s="98"/>
      <c r="R83" s="98"/>
      <c r="S83" s="62"/>
      <c r="T83" s="67"/>
    </row>
    <row r="84" s="1" customFormat="1" ht="25" customHeight="1" outlineLevel="1" spans="1:20">
      <c r="A84" s="72">
        <v>4</v>
      </c>
      <c r="B84" s="73" t="s">
        <v>191</v>
      </c>
      <c r="C84" s="73"/>
      <c r="D84" s="72"/>
      <c r="E84" s="84" t="s">
        <v>187</v>
      </c>
      <c r="F84" s="75">
        <v>1</v>
      </c>
      <c r="G84" s="98"/>
      <c r="H84" s="98"/>
      <c r="I84" s="98"/>
      <c r="J84" s="98"/>
      <c r="K84" s="98"/>
      <c r="L84" s="98"/>
      <c r="M84" s="98"/>
      <c r="N84" s="98"/>
      <c r="O84" s="98"/>
      <c r="P84" s="98"/>
      <c r="Q84" s="98"/>
      <c r="R84" s="98"/>
      <c r="S84" s="62"/>
      <c r="T84" s="67"/>
    </row>
    <row r="85" s="1" customFormat="1" ht="25" customHeight="1" outlineLevel="1" spans="1:20">
      <c r="A85" s="72">
        <v>5</v>
      </c>
      <c r="B85" s="73" t="s">
        <v>192</v>
      </c>
      <c r="C85" s="73"/>
      <c r="D85" s="72"/>
      <c r="E85" s="84" t="s">
        <v>187</v>
      </c>
      <c r="F85" s="75">
        <v>1</v>
      </c>
      <c r="G85" s="98"/>
      <c r="H85" s="98"/>
      <c r="I85" s="98"/>
      <c r="J85" s="98"/>
      <c r="K85" s="98"/>
      <c r="L85" s="98"/>
      <c r="M85" s="98"/>
      <c r="N85" s="98"/>
      <c r="O85" s="98"/>
      <c r="P85" s="98"/>
      <c r="Q85" s="98"/>
      <c r="R85" s="98"/>
      <c r="S85" s="62"/>
      <c r="T85" s="67"/>
    </row>
    <row r="86" s="1" customFormat="1" ht="25" customHeight="1" outlineLevel="1" spans="1:20">
      <c r="A86" s="72">
        <v>6</v>
      </c>
      <c r="B86" s="73" t="s">
        <v>193</v>
      </c>
      <c r="C86" s="73"/>
      <c r="D86" s="72"/>
      <c r="E86" s="84" t="s">
        <v>187</v>
      </c>
      <c r="F86" s="75">
        <v>1</v>
      </c>
      <c r="G86" s="98"/>
      <c r="H86" s="98"/>
      <c r="I86" s="98"/>
      <c r="J86" s="98"/>
      <c r="K86" s="98"/>
      <c r="L86" s="98"/>
      <c r="M86" s="98"/>
      <c r="N86" s="98"/>
      <c r="O86" s="98"/>
      <c r="P86" s="98"/>
      <c r="Q86" s="98"/>
      <c r="R86" s="98"/>
      <c r="S86" s="62"/>
      <c r="T86" s="67"/>
    </row>
    <row r="87" s="1" customFormat="1" ht="25" customHeight="1" outlineLevel="1" spans="1:20">
      <c r="A87" s="72">
        <v>7</v>
      </c>
      <c r="B87" s="73" t="s">
        <v>194</v>
      </c>
      <c r="C87" s="73"/>
      <c r="D87" s="72"/>
      <c r="E87" s="84" t="s">
        <v>187</v>
      </c>
      <c r="F87" s="75">
        <v>1</v>
      </c>
      <c r="G87" s="98"/>
      <c r="H87" s="98"/>
      <c r="I87" s="98"/>
      <c r="J87" s="98"/>
      <c r="K87" s="98"/>
      <c r="L87" s="98"/>
      <c r="M87" s="98"/>
      <c r="N87" s="98"/>
      <c r="O87" s="98"/>
      <c r="P87" s="98"/>
      <c r="Q87" s="98"/>
      <c r="R87" s="98"/>
      <c r="S87" s="62"/>
      <c r="T87" s="67"/>
    </row>
    <row r="88" s="1" customFormat="1" ht="25" customHeight="1" outlineLevel="1" spans="1:20">
      <c r="A88" s="72">
        <v>8</v>
      </c>
      <c r="B88" s="73" t="s">
        <v>195</v>
      </c>
      <c r="C88" s="73"/>
      <c r="D88" s="72"/>
      <c r="E88" s="84" t="s">
        <v>187</v>
      </c>
      <c r="F88" s="75">
        <v>1</v>
      </c>
      <c r="G88" s="98"/>
      <c r="H88" s="98"/>
      <c r="I88" s="98"/>
      <c r="J88" s="98"/>
      <c r="K88" s="98"/>
      <c r="L88" s="98"/>
      <c r="M88" s="98"/>
      <c r="N88" s="98"/>
      <c r="O88" s="98"/>
      <c r="P88" s="98"/>
      <c r="Q88" s="98"/>
      <c r="R88" s="98"/>
      <c r="S88" s="62"/>
      <c r="T88" s="67"/>
    </row>
    <row r="89" s="1" customFormat="1" ht="25" customHeight="1" outlineLevel="1" spans="1:20">
      <c r="A89" s="72">
        <v>9</v>
      </c>
      <c r="B89" s="73" t="s">
        <v>196</v>
      </c>
      <c r="C89" s="73"/>
      <c r="D89" s="72"/>
      <c r="E89" s="84" t="s">
        <v>187</v>
      </c>
      <c r="F89" s="75">
        <v>1</v>
      </c>
      <c r="G89" s="75"/>
      <c r="H89" s="75"/>
      <c r="I89" s="75"/>
      <c r="J89" s="75"/>
      <c r="K89" s="75"/>
      <c r="L89" s="75"/>
      <c r="M89" s="75"/>
      <c r="N89" s="75"/>
      <c r="O89" s="75"/>
      <c r="P89" s="75"/>
      <c r="Q89" s="75"/>
      <c r="R89" s="75"/>
      <c r="S89" s="62"/>
      <c r="T89" s="67"/>
    </row>
    <row r="90" s="1" customFormat="1" ht="25" customHeight="1" outlineLevel="1" spans="1:20">
      <c r="A90" s="72">
        <v>10</v>
      </c>
      <c r="B90" s="73" t="s">
        <v>197</v>
      </c>
      <c r="C90" s="73"/>
      <c r="D90" s="72"/>
      <c r="E90" s="84" t="s">
        <v>187</v>
      </c>
      <c r="F90" s="75">
        <v>1</v>
      </c>
      <c r="G90" s="75"/>
      <c r="H90" s="75"/>
      <c r="I90" s="75"/>
      <c r="J90" s="75"/>
      <c r="K90" s="75"/>
      <c r="L90" s="75"/>
      <c r="M90" s="75"/>
      <c r="N90" s="75"/>
      <c r="O90" s="75"/>
      <c r="P90" s="75"/>
      <c r="Q90" s="75"/>
      <c r="R90" s="75"/>
      <c r="S90" s="63"/>
      <c r="T90" s="67"/>
    </row>
    <row r="91" s="6" customFormat="1" ht="35" customHeight="1" spans="1:20">
      <c r="A91" s="69" t="s">
        <v>198</v>
      </c>
      <c r="B91" s="99" t="s">
        <v>199</v>
      </c>
      <c r="C91" s="99"/>
      <c r="D91" s="100"/>
      <c r="E91" s="100" t="s">
        <v>200</v>
      </c>
      <c r="F91" s="101"/>
      <c r="G91" s="101"/>
      <c r="H91" s="101"/>
      <c r="I91" s="101"/>
      <c r="J91" s="101"/>
      <c r="K91" s="101"/>
      <c r="L91" s="101"/>
      <c r="M91" s="101"/>
      <c r="N91" s="101"/>
      <c r="O91" s="101"/>
      <c r="P91" s="101"/>
      <c r="Q91" s="101"/>
      <c r="R91" s="104"/>
      <c r="S91" s="105"/>
      <c r="T91" s="89"/>
    </row>
    <row r="92" s="6" customFormat="1" ht="35" customHeight="1" spans="1:20">
      <c r="A92" s="69" t="s">
        <v>201</v>
      </c>
      <c r="B92" s="99" t="s">
        <v>202</v>
      </c>
      <c r="C92" s="99"/>
      <c r="D92" s="100"/>
      <c r="E92" s="100"/>
      <c r="F92" s="101"/>
      <c r="G92" s="101"/>
      <c r="H92" s="101"/>
      <c r="I92" s="101"/>
      <c r="J92" s="101"/>
      <c r="K92" s="101"/>
      <c r="L92" s="101"/>
      <c r="M92" s="101"/>
      <c r="N92" s="101"/>
      <c r="O92" s="101"/>
      <c r="P92" s="101"/>
      <c r="Q92" s="101"/>
      <c r="R92" s="104"/>
      <c r="S92" s="105"/>
      <c r="T92" s="89"/>
    </row>
    <row r="93" s="6" customFormat="1" ht="35" customHeight="1" spans="1:20">
      <c r="A93" s="69" t="s">
        <v>203</v>
      </c>
      <c r="B93" s="99" t="s">
        <v>204</v>
      </c>
      <c r="C93" s="99"/>
      <c r="D93" s="100"/>
      <c r="E93" s="100"/>
      <c r="F93" s="101"/>
      <c r="G93" s="101"/>
      <c r="H93" s="101"/>
      <c r="I93" s="101"/>
      <c r="J93" s="101"/>
      <c r="K93" s="101"/>
      <c r="L93" s="101"/>
      <c r="M93" s="101"/>
      <c r="N93" s="101"/>
      <c r="O93" s="101"/>
      <c r="P93" s="101"/>
      <c r="Q93" s="101"/>
      <c r="R93" s="104"/>
      <c r="S93" s="105"/>
      <c r="T93" s="89"/>
    </row>
    <row r="94" s="1" customFormat="1" ht="168" customHeight="1" spans="1:20">
      <c r="A94" s="102" t="s">
        <v>205</v>
      </c>
      <c r="B94" s="103"/>
      <c r="C94" s="103"/>
      <c r="D94" s="103"/>
      <c r="E94" s="103"/>
      <c r="F94" s="103"/>
      <c r="G94" s="103"/>
      <c r="H94" s="103"/>
      <c r="I94" s="103"/>
      <c r="J94" s="103"/>
      <c r="K94" s="103"/>
      <c r="L94" s="103"/>
      <c r="M94" s="103"/>
      <c r="N94" s="103"/>
      <c r="O94" s="103"/>
      <c r="P94" s="103"/>
      <c r="Q94" s="103"/>
      <c r="R94" s="103"/>
      <c r="S94" s="103"/>
      <c r="T94" s="67"/>
    </row>
  </sheetData>
  <mergeCells count="8">
    <mergeCell ref="A1:S1"/>
    <mergeCell ref="A2:E2"/>
    <mergeCell ref="A94:S94"/>
    <mergeCell ref="C11:C13"/>
    <mergeCell ref="C15:C17"/>
    <mergeCell ref="D11:D13"/>
    <mergeCell ref="D15:D17"/>
    <mergeCell ref="S81:S90"/>
  </mergeCells>
  <pageMargins left="0.354166666666667" right="0.354166666666667" top="0.511805555555556" bottom="0.354166666666667" header="0.5" footer="0.314583333333333"/>
  <pageSetup paperSize="8" scale="88"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66"/>
  <sheetViews>
    <sheetView tabSelected="1" view="pageBreakPreview" zoomScaleNormal="100" workbookViewId="0">
      <pane ySplit="3" topLeftCell="A51" activePane="bottomLeft" state="frozen"/>
      <selection/>
      <selection pane="bottomLeft" activeCell="A66" sqref="A66:Q66"/>
    </sheetView>
  </sheetViews>
  <sheetFormatPr defaultColWidth="9" defaultRowHeight="13.5"/>
  <cols>
    <col min="1" max="1" width="8.71428571428571" style="1" customWidth="1"/>
    <col min="2" max="2" width="25.5714285714286" style="7" customWidth="1"/>
    <col min="3" max="3" width="51.7142857142857" style="7" customWidth="1"/>
    <col min="4" max="4" width="16.8571428571429" style="4" customWidth="1"/>
    <col min="5" max="5" width="5.71428571428571" style="1" customWidth="1"/>
    <col min="6" max="6" width="12.7142857142857" style="8" customWidth="1" collapsed="1"/>
    <col min="7" max="8" width="10.8571428571429" style="8" hidden="1" customWidth="1" outlineLevel="1"/>
    <col min="9" max="9" width="9.85714285714286" style="8" hidden="1" customWidth="1" outlineLevel="1"/>
    <col min="10" max="10" width="12.7142857142857" style="8" hidden="1" customWidth="1" outlineLevel="1"/>
    <col min="11" max="13" width="7.71428571428571" style="8" customWidth="1"/>
    <col min="14" max="15" width="11.1428571428571" style="8" customWidth="1"/>
    <col min="16" max="16" width="12.4380952380952" style="8" customWidth="1"/>
    <col min="17" max="17" width="11.7142857142857" style="7" customWidth="1"/>
    <col min="18" max="18" width="42.8571428571429" style="9" customWidth="1"/>
    <col min="19" max="16383" width="9" style="1"/>
  </cols>
  <sheetData>
    <row r="1" s="1" customFormat="1" ht="25" customHeight="1" spans="1:18">
      <c r="A1" s="10" t="s">
        <v>10</v>
      </c>
      <c r="B1" s="11"/>
      <c r="C1" s="11"/>
      <c r="D1" s="10"/>
      <c r="E1" s="10"/>
      <c r="F1" s="12"/>
      <c r="G1" s="12"/>
      <c r="H1" s="12"/>
      <c r="I1" s="12"/>
      <c r="J1" s="12"/>
      <c r="K1" s="12"/>
      <c r="L1" s="12"/>
      <c r="M1" s="12"/>
      <c r="N1" s="12"/>
      <c r="O1" s="12"/>
      <c r="P1" s="12"/>
      <c r="Q1" s="11"/>
      <c r="R1" s="9"/>
    </row>
    <row r="2" s="2" customFormat="1" ht="20" customHeight="1" spans="1:18">
      <c r="A2" s="13" t="s">
        <v>206</v>
      </c>
      <c r="B2" s="13"/>
      <c r="C2" s="13"/>
      <c r="D2" s="14"/>
      <c r="E2" s="13"/>
      <c r="F2" s="15"/>
      <c r="G2" s="15"/>
      <c r="H2" s="15"/>
      <c r="I2" s="15"/>
      <c r="J2" s="15"/>
      <c r="K2" s="15"/>
      <c r="L2" s="15"/>
      <c r="M2" s="15"/>
      <c r="N2" s="15"/>
      <c r="O2" s="15"/>
      <c r="P2" s="15"/>
      <c r="Q2" s="13"/>
      <c r="R2" s="9"/>
    </row>
    <row r="3" s="2" customFormat="1" ht="81" customHeight="1" spans="1:18">
      <c r="A3" s="16" t="s">
        <v>1</v>
      </c>
      <c r="B3" s="16" t="s">
        <v>12</v>
      </c>
      <c r="C3" s="16" t="s">
        <v>13</v>
      </c>
      <c r="D3" s="16" t="s">
        <v>14</v>
      </c>
      <c r="E3" s="16" t="s">
        <v>15</v>
      </c>
      <c r="F3" s="17" t="s">
        <v>16</v>
      </c>
      <c r="G3" s="18" t="s">
        <v>207</v>
      </c>
      <c r="H3" s="18" t="s">
        <v>208</v>
      </c>
      <c r="I3" s="18" t="s">
        <v>209</v>
      </c>
      <c r="J3" s="18" t="s">
        <v>210</v>
      </c>
      <c r="K3" s="18" t="s">
        <v>23</v>
      </c>
      <c r="L3" s="18" t="s">
        <v>24</v>
      </c>
      <c r="M3" s="18" t="s">
        <v>25</v>
      </c>
      <c r="N3" s="18" t="s">
        <v>26</v>
      </c>
      <c r="O3" s="18" t="s">
        <v>27</v>
      </c>
      <c r="P3" s="18" t="s">
        <v>28</v>
      </c>
      <c r="Q3" s="51" t="s">
        <v>6</v>
      </c>
      <c r="R3" s="9"/>
    </row>
    <row r="4" s="3" customFormat="1" ht="25" customHeight="1" spans="1:18">
      <c r="A4" s="16" t="s">
        <v>29</v>
      </c>
      <c r="B4" s="19" t="s">
        <v>30</v>
      </c>
      <c r="C4" s="19"/>
      <c r="D4" s="16"/>
      <c r="E4" s="16"/>
      <c r="F4" s="20"/>
      <c r="G4" s="20"/>
      <c r="H4" s="20"/>
      <c r="I4" s="20"/>
      <c r="J4" s="20"/>
      <c r="K4" s="20"/>
      <c r="L4" s="20"/>
      <c r="M4" s="20"/>
      <c r="N4" s="20"/>
      <c r="O4" s="20"/>
      <c r="P4" s="20"/>
      <c r="Q4" s="19"/>
      <c r="R4" s="52"/>
    </row>
    <row r="5" s="3" customFormat="1" ht="25" customHeight="1" outlineLevel="1" spans="1:18">
      <c r="A5" s="16">
        <v>1</v>
      </c>
      <c r="B5" s="19" t="s">
        <v>31</v>
      </c>
      <c r="C5" s="19"/>
      <c r="D5" s="16"/>
      <c r="E5" s="16"/>
      <c r="F5" s="20"/>
      <c r="G5" s="20"/>
      <c r="H5" s="20"/>
      <c r="I5" s="20"/>
      <c r="J5" s="20"/>
      <c r="K5" s="20"/>
      <c r="L5" s="20"/>
      <c r="M5" s="20"/>
      <c r="N5" s="20"/>
      <c r="O5" s="20"/>
      <c r="P5" s="20"/>
      <c r="Q5" s="19"/>
      <c r="R5" s="52"/>
    </row>
    <row r="6" s="4" customFormat="1" ht="195" customHeight="1" outlineLevel="2" spans="1:18">
      <c r="A6" s="21">
        <v>1.1</v>
      </c>
      <c r="B6" s="22" t="s">
        <v>211</v>
      </c>
      <c r="C6" s="23" t="s">
        <v>33</v>
      </c>
      <c r="D6" s="21" t="s">
        <v>34</v>
      </c>
      <c r="E6" s="21" t="s">
        <v>35</v>
      </c>
      <c r="F6" s="24">
        <f>SUM(G6:J6)</f>
        <v>4650.2923</v>
      </c>
      <c r="G6" s="24">
        <v>1031.8221</v>
      </c>
      <c r="H6" s="24">
        <v>2061.0506</v>
      </c>
      <c r="I6" s="24">
        <v>421.4676</v>
      </c>
      <c r="J6" s="24">
        <v>1135.952</v>
      </c>
      <c r="K6" s="24"/>
      <c r="L6" s="24" t="s">
        <v>36</v>
      </c>
      <c r="M6" s="24"/>
      <c r="N6" s="24"/>
      <c r="O6" s="24"/>
      <c r="P6" s="24"/>
      <c r="Q6" s="22"/>
      <c r="R6" s="52"/>
    </row>
    <row r="7" s="4" customFormat="1" ht="51" customHeight="1" outlineLevel="2" spans="1:18">
      <c r="A7" s="21">
        <v>1.2</v>
      </c>
      <c r="B7" s="22" t="s">
        <v>212</v>
      </c>
      <c r="C7" s="22" t="s">
        <v>213</v>
      </c>
      <c r="D7" s="21" t="s">
        <v>34</v>
      </c>
      <c r="E7" s="21" t="s">
        <v>35</v>
      </c>
      <c r="F7" s="24">
        <f>SUM(G7:J7)</f>
        <v>461.712</v>
      </c>
      <c r="G7" s="24">
        <v>461.712</v>
      </c>
      <c r="H7" s="24"/>
      <c r="I7" s="24"/>
      <c r="J7" s="24"/>
      <c r="K7" s="24"/>
      <c r="L7" s="24" t="s">
        <v>36</v>
      </c>
      <c r="M7" s="24"/>
      <c r="N7" s="24"/>
      <c r="O7" s="24"/>
      <c r="P7" s="24"/>
      <c r="Q7" s="22"/>
      <c r="R7" s="53"/>
    </row>
    <row r="8" s="4" customFormat="1" ht="82" customHeight="1" outlineLevel="2" spans="1:18">
      <c r="A8" s="21">
        <v>1.3</v>
      </c>
      <c r="B8" s="22" t="s">
        <v>41</v>
      </c>
      <c r="C8" s="22" t="s">
        <v>214</v>
      </c>
      <c r="D8" s="21" t="s">
        <v>43</v>
      </c>
      <c r="E8" s="21" t="s">
        <v>40</v>
      </c>
      <c r="F8" s="24">
        <f>SUM(G8:J8)</f>
        <v>12467.2316</v>
      </c>
      <c r="G8" s="24">
        <v>3571.2124</v>
      </c>
      <c r="H8" s="24">
        <v>4698.8032</v>
      </c>
      <c r="I8" s="24">
        <v>612.58</v>
      </c>
      <c r="J8" s="24">
        <v>3584.636</v>
      </c>
      <c r="K8" s="47"/>
      <c r="L8" s="47"/>
      <c r="M8" s="47"/>
      <c r="N8" s="47"/>
      <c r="O8" s="47"/>
      <c r="P8" s="24"/>
      <c r="Q8" s="22"/>
      <c r="R8" s="52"/>
    </row>
    <row r="9" s="4" customFormat="1" ht="82" customHeight="1" outlineLevel="2" spans="1:18">
      <c r="A9" s="21">
        <v>1.4</v>
      </c>
      <c r="B9" s="22" t="s">
        <v>44</v>
      </c>
      <c r="C9" s="25" t="s">
        <v>215</v>
      </c>
      <c r="D9" s="21" t="s">
        <v>216</v>
      </c>
      <c r="E9" s="21" t="s">
        <v>40</v>
      </c>
      <c r="F9" s="24">
        <f>SUM(G9:J9)</f>
        <v>644.5029</v>
      </c>
      <c r="G9" s="24"/>
      <c r="H9" s="24"/>
      <c r="I9" s="24">
        <v>644.5029</v>
      </c>
      <c r="J9" s="24"/>
      <c r="K9" s="47"/>
      <c r="L9" s="47"/>
      <c r="M9" s="47"/>
      <c r="N9" s="47"/>
      <c r="O9" s="47"/>
      <c r="P9" s="24"/>
      <c r="Q9" s="22"/>
      <c r="R9" s="52"/>
    </row>
    <row r="10" s="3" customFormat="1" ht="25" customHeight="1" outlineLevel="1" spans="1:18">
      <c r="A10" s="16">
        <v>2</v>
      </c>
      <c r="B10" s="19" t="s">
        <v>46</v>
      </c>
      <c r="C10" s="19"/>
      <c r="D10" s="16"/>
      <c r="E10" s="16"/>
      <c r="F10" s="20"/>
      <c r="G10" s="20"/>
      <c r="H10" s="20"/>
      <c r="I10" s="20"/>
      <c r="J10" s="20"/>
      <c r="K10" s="20"/>
      <c r="L10" s="20"/>
      <c r="M10" s="20"/>
      <c r="N10" s="20"/>
      <c r="O10" s="20"/>
      <c r="P10" s="20"/>
      <c r="Q10" s="19"/>
      <c r="R10" s="52"/>
    </row>
    <row r="11" s="4" customFormat="1" ht="106" customHeight="1" outlineLevel="2" spans="1:18">
      <c r="A11" s="21">
        <v>2.1</v>
      </c>
      <c r="B11" s="22" t="s">
        <v>50</v>
      </c>
      <c r="C11" s="25" t="s">
        <v>217</v>
      </c>
      <c r="D11" s="25" t="s">
        <v>49</v>
      </c>
      <c r="E11" s="21" t="s">
        <v>40</v>
      </c>
      <c r="F11" s="24">
        <f t="shared" ref="F11:F16" si="0">SUM(G11:J11)</f>
        <v>537.4</v>
      </c>
      <c r="G11" s="24"/>
      <c r="H11" s="24">
        <v>158.05</v>
      </c>
      <c r="I11" s="24">
        <v>43.25</v>
      </c>
      <c r="J11" s="24">
        <v>336.1</v>
      </c>
      <c r="K11" s="24"/>
      <c r="L11" s="24" t="s">
        <v>36</v>
      </c>
      <c r="M11" s="24"/>
      <c r="N11" s="24"/>
      <c r="O11" s="24"/>
      <c r="P11" s="24"/>
      <c r="Q11" s="54"/>
      <c r="R11" s="53"/>
    </row>
    <row r="12" s="3" customFormat="1" ht="25" customHeight="1" outlineLevel="1" spans="1:18">
      <c r="A12" s="16">
        <v>3</v>
      </c>
      <c r="B12" s="19" t="s">
        <v>52</v>
      </c>
      <c r="C12" s="19"/>
      <c r="D12" s="16"/>
      <c r="E12" s="16"/>
      <c r="F12" s="20"/>
      <c r="G12" s="20"/>
      <c r="H12" s="20"/>
      <c r="I12" s="20"/>
      <c r="J12" s="20"/>
      <c r="K12" s="20"/>
      <c r="L12" s="20"/>
      <c r="M12" s="20"/>
      <c r="N12" s="20"/>
      <c r="O12" s="20"/>
      <c r="P12" s="20"/>
      <c r="Q12" s="19"/>
      <c r="R12" s="52"/>
    </row>
    <row r="13" s="4" customFormat="1" ht="270" customHeight="1" outlineLevel="2" spans="1:18">
      <c r="A13" s="21">
        <v>3.1</v>
      </c>
      <c r="B13" s="22" t="s">
        <v>50</v>
      </c>
      <c r="C13" s="26" t="s">
        <v>53</v>
      </c>
      <c r="D13" s="21" t="s">
        <v>49</v>
      </c>
      <c r="E13" s="21" t="s">
        <v>40</v>
      </c>
      <c r="F13" s="24">
        <f t="shared" si="0"/>
        <v>435</v>
      </c>
      <c r="G13" s="24">
        <f>6.85/0.2</f>
        <v>34.25</v>
      </c>
      <c r="H13" s="24"/>
      <c r="I13" s="24">
        <v>400.75</v>
      </c>
      <c r="J13" s="24"/>
      <c r="K13" s="24"/>
      <c r="L13" s="24" t="s">
        <v>36</v>
      </c>
      <c r="M13" s="24"/>
      <c r="N13" s="24"/>
      <c r="O13" s="24"/>
      <c r="P13" s="24"/>
      <c r="Q13" s="21"/>
      <c r="R13" s="52"/>
    </row>
    <row r="14" s="3" customFormat="1" ht="25" customHeight="1" outlineLevel="1" spans="1:18">
      <c r="A14" s="16">
        <v>4</v>
      </c>
      <c r="B14" s="19" t="s">
        <v>56</v>
      </c>
      <c r="C14" s="19"/>
      <c r="D14" s="16"/>
      <c r="E14" s="16"/>
      <c r="F14" s="20"/>
      <c r="G14" s="20"/>
      <c r="H14" s="20"/>
      <c r="I14" s="20"/>
      <c r="J14" s="20"/>
      <c r="K14" s="20"/>
      <c r="L14" s="20"/>
      <c r="M14" s="20"/>
      <c r="N14" s="20"/>
      <c r="O14" s="20"/>
      <c r="P14" s="20"/>
      <c r="Q14" s="19"/>
      <c r="R14" s="52"/>
    </row>
    <row r="15" s="3" customFormat="1" ht="102" customHeight="1" outlineLevel="2" spans="1:18">
      <c r="A15" s="21">
        <v>4.1</v>
      </c>
      <c r="B15" s="22" t="s">
        <v>57</v>
      </c>
      <c r="C15" s="22" t="s">
        <v>58</v>
      </c>
      <c r="D15" s="21" t="s">
        <v>49</v>
      </c>
      <c r="E15" s="21" t="s">
        <v>40</v>
      </c>
      <c r="F15" s="24">
        <f t="shared" si="0"/>
        <v>660.99</v>
      </c>
      <c r="G15" s="24">
        <v>200.81</v>
      </c>
      <c r="H15" s="24"/>
      <c r="I15" s="24">
        <v>460.18</v>
      </c>
      <c r="J15" s="24"/>
      <c r="K15" s="24"/>
      <c r="L15" s="24" t="s">
        <v>36</v>
      </c>
      <c r="M15" s="24"/>
      <c r="N15" s="24"/>
      <c r="O15" s="24"/>
      <c r="P15" s="20"/>
      <c r="Q15" s="22"/>
      <c r="R15" s="55"/>
    </row>
    <row r="16" s="3" customFormat="1" ht="90" customHeight="1" outlineLevel="2" spans="1:18">
      <c r="A16" s="21">
        <v>4.2</v>
      </c>
      <c r="B16" s="22" t="s">
        <v>218</v>
      </c>
      <c r="C16" s="22" t="s">
        <v>219</v>
      </c>
      <c r="D16" s="21" t="s">
        <v>49</v>
      </c>
      <c r="E16" s="21" t="s">
        <v>40</v>
      </c>
      <c r="F16" s="24">
        <f t="shared" si="0"/>
        <v>259.36</v>
      </c>
      <c r="G16" s="24"/>
      <c r="H16" s="24"/>
      <c r="I16" s="24">
        <v>259.36</v>
      </c>
      <c r="J16" s="24"/>
      <c r="K16" s="24"/>
      <c r="L16" s="24" t="s">
        <v>36</v>
      </c>
      <c r="M16" s="24"/>
      <c r="N16" s="24"/>
      <c r="O16" s="24"/>
      <c r="P16" s="20"/>
      <c r="Q16" s="22"/>
      <c r="R16" s="52"/>
    </row>
    <row r="17" s="3" customFormat="1" ht="25" customHeight="1" outlineLevel="1" spans="1:18">
      <c r="A17" s="16">
        <v>5</v>
      </c>
      <c r="B17" s="19" t="s">
        <v>73</v>
      </c>
      <c r="C17" s="19"/>
      <c r="D17" s="16"/>
      <c r="E17" s="16"/>
      <c r="F17" s="20"/>
      <c r="G17" s="20"/>
      <c r="H17" s="20"/>
      <c r="I17" s="20"/>
      <c r="J17" s="20"/>
      <c r="K17" s="20"/>
      <c r="L17" s="20"/>
      <c r="M17" s="20"/>
      <c r="N17" s="20"/>
      <c r="O17" s="20"/>
      <c r="P17" s="20"/>
      <c r="Q17" s="19"/>
      <c r="R17" s="52"/>
    </row>
    <row r="18" s="4" customFormat="1" ht="204" customHeight="1" outlineLevel="2" spans="1:18">
      <c r="A18" s="21">
        <v>5.1</v>
      </c>
      <c r="B18" s="22" t="s">
        <v>74</v>
      </c>
      <c r="C18" s="22" t="s">
        <v>75</v>
      </c>
      <c r="D18" s="21" t="s">
        <v>49</v>
      </c>
      <c r="E18" s="21" t="s">
        <v>40</v>
      </c>
      <c r="F18" s="24">
        <f t="shared" ref="F18:F21" si="1">SUM(G18:J18)</f>
        <v>892.297</v>
      </c>
      <c r="G18" s="24"/>
      <c r="H18" s="24"/>
      <c r="I18" s="24">
        <v>892.297</v>
      </c>
      <c r="J18" s="24"/>
      <c r="K18" s="24"/>
      <c r="L18" s="24" t="s">
        <v>36</v>
      </c>
      <c r="M18" s="24"/>
      <c r="N18" s="24"/>
      <c r="O18" s="24"/>
      <c r="P18" s="24"/>
      <c r="Q18" s="22"/>
      <c r="R18" s="53"/>
    </row>
    <row r="19" s="4" customFormat="1" ht="141" customHeight="1" outlineLevel="2" spans="1:18">
      <c r="A19" s="21">
        <v>5.2</v>
      </c>
      <c r="B19" s="22" t="s">
        <v>78</v>
      </c>
      <c r="C19" s="22" t="s">
        <v>79</v>
      </c>
      <c r="D19" s="21" t="s">
        <v>49</v>
      </c>
      <c r="E19" s="21" t="s">
        <v>40</v>
      </c>
      <c r="F19" s="24">
        <f t="shared" si="1"/>
        <v>3258.65</v>
      </c>
      <c r="G19" s="24">
        <v>941.6869</v>
      </c>
      <c r="H19" s="24">
        <v>607.0689</v>
      </c>
      <c r="I19" s="24">
        <v>847.05</v>
      </c>
      <c r="J19" s="24">
        <v>862.8442</v>
      </c>
      <c r="K19" s="24"/>
      <c r="L19" s="24" t="s">
        <v>36</v>
      </c>
      <c r="M19" s="24"/>
      <c r="N19" s="24"/>
      <c r="O19" s="24"/>
      <c r="P19" s="24"/>
      <c r="Q19" s="22"/>
      <c r="R19" s="53"/>
    </row>
    <row r="20" s="4" customFormat="1" ht="107" customHeight="1" outlineLevel="2" spans="1:18">
      <c r="A20" s="21">
        <v>5.3</v>
      </c>
      <c r="B20" s="22" t="s">
        <v>80</v>
      </c>
      <c r="C20" s="22" t="s">
        <v>81</v>
      </c>
      <c r="D20" s="21" t="s">
        <v>49</v>
      </c>
      <c r="E20" s="21" t="s">
        <v>40</v>
      </c>
      <c r="F20" s="24">
        <f t="shared" si="1"/>
        <v>2985.7162</v>
      </c>
      <c r="G20" s="24">
        <v>660.19</v>
      </c>
      <c r="H20" s="24">
        <v>596.165</v>
      </c>
      <c r="I20" s="24">
        <v>866.517</v>
      </c>
      <c r="J20" s="24">
        <v>862.8442</v>
      </c>
      <c r="K20" s="24"/>
      <c r="L20" s="24" t="s">
        <v>36</v>
      </c>
      <c r="M20" s="24"/>
      <c r="N20" s="24"/>
      <c r="O20" s="24"/>
      <c r="P20" s="24"/>
      <c r="Q20" s="22"/>
      <c r="R20" s="52"/>
    </row>
    <row r="21" s="4" customFormat="1" ht="59" customHeight="1" outlineLevel="2" spans="1:18">
      <c r="A21" s="21">
        <v>5.4</v>
      </c>
      <c r="B21" s="22" t="s">
        <v>220</v>
      </c>
      <c r="C21" s="22" t="s">
        <v>85</v>
      </c>
      <c r="D21" s="21" t="s">
        <v>49</v>
      </c>
      <c r="E21" s="21" t="s">
        <v>40</v>
      </c>
      <c r="F21" s="24">
        <f t="shared" si="1"/>
        <v>623.15</v>
      </c>
      <c r="G21" s="24">
        <v>521.51</v>
      </c>
      <c r="H21" s="24"/>
      <c r="I21" s="24"/>
      <c r="J21" s="24">
        <v>101.64</v>
      </c>
      <c r="K21" s="24"/>
      <c r="L21" s="24" t="s">
        <v>36</v>
      </c>
      <c r="M21" s="24"/>
      <c r="N21" s="24"/>
      <c r="O21" s="24"/>
      <c r="P21" s="24"/>
      <c r="Q21" s="22"/>
      <c r="R21" s="52"/>
    </row>
    <row r="22" s="3" customFormat="1" ht="25" customHeight="1" outlineLevel="1" spans="1:18">
      <c r="A22" s="16">
        <v>6</v>
      </c>
      <c r="B22" s="19" t="s">
        <v>86</v>
      </c>
      <c r="C22" s="19"/>
      <c r="D22" s="16"/>
      <c r="E22" s="16"/>
      <c r="F22" s="20"/>
      <c r="G22" s="20"/>
      <c r="H22" s="20"/>
      <c r="I22" s="20"/>
      <c r="J22" s="20"/>
      <c r="K22" s="20"/>
      <c r="L22" s="20"/>
      <c r="M22" s="20"/>
      <c r="N22" s="20"/>
      <c r="O22" s="20"/>
      <c r="P22" s="20"/>
      <c r="Q22" s="19"/>
      <c r="R22" s="52"/>
    </row>
    <row r="23" s="5" customFormat="1" ht="102" customHeight="1" outlineLevel="2" spans="1:18">
      <c r="A23" s="21">
        <v>6.1</v>
      </c>
      <c r="B23" s="22" t="s">
        <v>87</v>
      </c>
      <c r="C23" s="22" t="s">
        <v>88</v>
      </c>
      <c r="D23" s="21" t="s">
        <v>49</v>
      </c>
      <c r="E23" s="21" t="s">
        <v>40</v>
      </c>
      <c r="F23" s="24">
        <f t="shared" ref="F23:F25" si="2">SUM(G23:J23)</f>
        <v>1736.69</v>
      </c>
      <c r="G23" s="24">
        <v>149.48</v>
      </c>
      <c r="H23" s="24">
        <v>1267.16</v>
      </c>
      <c r="I23" s="24">
        <v>320.05</v>
      </c>
      <c r="J23" s="24"/>
      <c r="K23" s="24"/>
      <c r="L23" s="24" t="s">
        <v>36</v>
      </c>
      <c r="M23" s="24"/>
      <c r="N23" s="24"/>
      <c r="O23" s="24"/>
      <c r="P23" s="24"/>
      <c r="Q23" s="22"/>
      <c r="R23" s="56"/>
    </row>
    <row r="24" s="5" customFormat="1" ht="102" customHeight="1" outlineLevel="2" spans="1:18">
      <c r="A24" s="21">
        <v>6.2</v>
      </c>
      <c r="B24" s="22" t="s">
        <v>91</v>
      </c>
      <c r="C24" s="22" t="s">
        <v>92</v>
      </c>
      <c r="D24" s="21" t="s">
        <v>49</v>
      </c>
      <c r="E24" s="21" t="s">
        <v>40</v>
      </c>
      <c r="F24" s="24">
        <f t="shared" si="2"/>
        <v>1736.69</v>
      </c>
      <c r="G24" s="24">
        <v>149.48</v>
      </c>
      <c r="H24" s="24">
        <v>1267.16</v>
      </c>
      <c r="I24" s="24">
        <v>320.05</v>
      </c>
      <c r="J24" s="24"/>
      <c r="K24" s="24"/>
      <c r="L24" s="24" t="s">
        <v>36</v>
      </c>
      <c r="M24" s="24"/>
      <c r="N24" s="24"/>
      <c r="O24" s="24"/>
      <c r="P24" s="24"/>
      <c r="Q24" s="22" t="s">
        <v>221</v>
      </c>
      <c r="R24" s="56"/>
    </row>
    <row r="25" s="5" customFormat="1" ht="102" customHeight="1" outlineLevel="2" spans="1:18">
      <c r="A25" s="21">
        <v>6.3</v>
      </c>
      <c r="B25" s="22" t="s">
        <v>93</v>
      </c>
      <c r="C25" s="22" t="s">
        <v>94</v>
      </c>
      <c r="D25" s="21" t="s">
        <v>49</v>
      </c>
      <c r="E25" s="21" t="s">
        <v>40</v>
      </c>
      <c r="F25" s="24">
        <f t="shared" si="2"/>
        <v>1736.69</v>
      </c>
      <c r="G25" s="24">
        <v>149.48</v>
      </c>
      <c r="H25" s="24">
        <v>1267.16</v>
      </c>
      <c r="I25" s="24">
        <v>320.05</v>
      </c>
      <c r="J25" s="24"/>
      <c r="K25" s="24"/>
      <c r="L25" s="24" t="s">
        <v>36</v>
      </c>
      <c r="M25" s="24"/>
      <c r="N25" s="24"/>
      <c r="O25" s="24"/>
      <c r="P25" s="24"/>
      <c r="Q25" s="22"/>
      <c r="R25" s="56"/>
    </row>
    <row r="26" s="3" customFormat="1" ht="28" customHeight="1" outlineLevel="1" spans="1:18">
      <c r="A26" s="16">
        <v>7</v>
      </c>
      <c r="B26" s="19" t="s">
        <v>95</v>
      </c>
      <c r="C26" s="19"/>
      <c r="D26" s="16"/>
      <c r="E26" s="16"/>
      <c r="F26" s="20"/>
      <c r="G26" s="20"/>
      <c r="H26" s="20"/>
      <c r="I26" s="20"/>
      <c r="J26" s="20"/>
      <c r="K26" s="20"/>
      <c r="L26" s="20"/>
      <c r="M26" s="20"/>
      <c r="N26" s="20"/>
      <c r="O26" s="20"/>
      <c r="P26" s="20"/>
      <c r="Q26" s="19"/>
      <c r="R26" s="52"/>
    </row>
    <row r="27" s="4" customFormat="1" ht="168" customHeight="1" outlineLevel="2" spans="1:18">
      <c r="A27" s="21">
        <v>7.1</v>
      </c>
      <c r="B27" s="22" t="s">
        <v>222</v>
      </c>
      <c r="C27" s="22" t="s">
        <v>223</v>
      </c>
      <c r="D27" s="21" t="s">
        <v>98</v>
      </c>
      <c r="E27" s="21" t="s">
        <v>40</v>
      </c>
      <c r="F27" s="24">
        <f t="shared" ref="F27:F36" si="3">SUM(G27:J27)</f>
        <v>1417.537</v>
      </c>
      <c r="G27" s="24">
        <v>525.24</v>
      </c>
      <c r="H27" s="24"/>
      <c r="I27" s="24">
        <v>892.297</v>
      </c>
      <c r="J27" s="24"/>
      <c r="K27" s="24"/>
      <c r="L27" s="24"/>
      <c r="M27" s="24"/>
      <c r="N27" s="24"/>
      <c r="O27" s="24"/>
      <c r="P27" s="24"/>
      <c r="Q27" s="22"/>
      <c r="R27" s="52"/>
    </row>
    <row r="28" s="4" customFormat="1" ht="227" customHeight="1" outlineLevel="2" spans="1:18">
      <c r="A28" s="21">
        <v>7.2</v>
      </c>
      <c r="B28" s="22" t="s">
        <v>224</v>
      </c>
      <c r="C28" s="22" t="s">
        <v>225</v>
      </c>
      <c r="D28" s="21" t="s">
        <v>98</v>
      </c>
      <c r="E28" s="21" t="s">
        <v>40</v>
      </c>
      <c r="F28" s="24">
        <f t="shared" si="3"/>
        <v>1032.7428</v>
      </c>
      <c r="G28" s="24">
        <v>168.7841</v>
      </c>
      <c r="H28" s="24">
        <v>39.3401</v>
      </c>
      <c r="I28" s="24">
        <v>621.4717</v>
      </c>
      <c r="J28" s="24">
        <v>203.1469</v>
      </c>
      <c r="K28" s="24"/>
      <c r="L28" s="24"/>
      <c r="M28" s="24"/>
      <c r="N28" s="24"/>
      <c r="O28" s="24"/>
      <c r="P28" s="24"/>
      <c r="Q28" s="30"/>
      <c r="R28" s="57"/>
    </row>
    <row r="29" s="3" customFormat="1" ht="25" customHeight="1" outlineLevel="1" spans="1:18">
      <c r="A29" s="16">
        <v>8</v>
      </c>
      <c r="B29" s="19" t="s">
        <v>102</v>
      </c>
      <c r="C29" s="19"/>
      <c r="D29" s="16"/>
      <c r="E29" s="16"/>
      <c r="F29" s="20"/>
      <c r="G29" s="20"/>
      <c r="H29" s="20"/>
      <c r="I29" s="20"/>
      <c r="J29" s="20"/>
      <c r="K29" s="20"/>
      <c r="L29" s="20"/>
      <c r="M29" s="20"/>
      <c r="N29" s="20"/>
      <c r="O29" s="20"/>
      <c r="P29" s="20"/>
      <c r="Q29" s="19"/>
      <c r="R29" s="52"/>
    </row>
    <row r="30" s="3" customFormat="1" ht="146" customHeight="1" outlineLevel="2" spans="1:18">
      <c r="A30" s="21">
        <v>8.1</v>
      </c>
      <c r="B30" s="22" t="s">
        <v>226</v>
      </c>
      <c r="C30" s="22" t="s">
        <v>227</v>
      </c>
      <c r="D30" s="21" t="s">
        <v>228</v>
      </c>
      <c r="E30" s="21" t="s">
        <v>120</v>
      </c>
      <c r="F30" s="24">
        <f t="shared" si="3"/>
        <v>247.8</v>
      </c>
      <c r="G30" s="24"/>
      <c r="H30" s="24"/>
      <c r="I30" s="24">
        <v>247.8</v>
      </c>
      <c r="J30" s="24"/>
      <c r="K30" s="24"/>
      <c r="L30" s="24"/>
      <c r="M30" s="24"/>
      <c r="N30" s="24"/>
      <c r="O30" s="24"/>
      <c r="P30" s="20"/>
      <c r="Q30" s="22"/>
      <c r="R30" s="52"/>
    </row>
    <row r="31" s="3" customFormat="1" ht="135" customHeight="1" outlineLevel="2" spans="1:18">
      <c r="A31" s="21">
        <v>8.2</v>
      </c>
      <c r="B31" s="22" t="s">
        <v>107</v>
      </c>
      <c r="C31" s="22" t="s">
        <v>229</v>
      </c>
      <c r="D31" s="21" t="s">
        <v>34</v>
      </c>
      <c r="E31" s="21" t="s">
        <v>35</v>
      </c>
      <c r="F31" s="24">
        <f t="shared" si="3"/>
        <v>80.64</v>
      </c>
      <c r="G31" s="24"/>
      <c r="H31" s="24"/>
      <c r="I31" s="24"/>
      <c r="J31" s="24">
        <v>80.64</v>
      </c>
      <c r="K31" s="24"/>
      <c r="L31" s="24" t="s">
        <v>36</v>
      </c>
      <c r="M31" s="24"/>
      <c r="N31" s="24"/>
      <c r="O31" s="24"/>
      <c r="P31" s="20"/>
      <c r="Q31" s="22"/>
      <c r="R31" s="57"/>
    </row>
    <row r="32" s="4" customFormat="1" ht="123" customHeight="1" outlineLevel="2" spans="1:18">
      <c r="A32" s="21">
        <v>8.3</v>
      </c>
      <c r="B32" s="22" t="s">
        <v>230</v>
      </c>
      <c r="C32" s="22" t="s">
        <v>231</v>
      </c>
      <c r="D32" s="21" t="s">
        <v>49</v>
      </c>
      <c r="E32" s="21" t="s">
        <v>40</v>
      </c>
      <c r="F32" s="24">
        <f t="shared" si="3"/>
        <v>9</v>
      </c>
      <c r="G32" s="24"/>
      <c r="H32" s="24"/>
      <c r="I32" s="24">
        <v>9</v>
      </c>
      <c r="J32" s="24"/>
      <c r="K32" s="24"/>
      <c r="L32" s="24" t="s">
        <v>36</v>
      </c>
      <c r="M32" s="24"/>
      <c r="N32" s="24"/>
      <c r="O32" s="24"/>
      <c r="P32" s="24"/>
      <c r="Q32" s="22"/>
      <c r="R32" s="52"/>
    </row>
    <row r="33" s="4" customFormat="1" ht="125" customHeight="1" outlineLevel="2" spans="1:18">
      <c r="A33" s="21">
        <v>8.4</v>
      </c>
      <c r="B33" s="22" t="s">
        <v>232</v>
      </c>
      <c r="C33" s="22" t="s">
        <v>233</v>
      </c>
      <c r="D33" s="21" t="s">
        <v>49</v>
      </c>
      <c r="E33" s="21" t="s">
        <v>40</v>
      </c>
      <c r="F33" s="24">
        <f t="shared" si="3"/>
        <v>5.87</v>
      </c>
      <c r="G33" s="24"/>
      <c r="H33" s="24"/>
      <c r="I33" s="24">
        <v>5.87</v>
      </c>
      <c r="J33" s="24"/>
      <c r="K33" s="24"/>
      <c r="L33" s="24" t="s">
        <v>36</v>
      </c>
      <c r="M33" s="24"/>
      <c r="N33" s="24"/>
      <c r="O33" s="24"/>
      <c r="P33" s="24"/>
      <c r="Q33" s="22"/>
      <c r="R33" s="52"/>
    </row>
    <row r="34" s="4" customFormat="1" ht="100" customHeight="1" outlineLevel="2" spans="1:18">
      <c r="A34" s="27">
        <v>8.5</v>
      </c>
      <c r="B34" s="28" t="s">
        <v>234</v>
      </c>
      <c r="C34" s="28" t="s">
        <v>235</v>
      </c>
      <c r="D34" s="27" t="s">
        <v>111</v>
      </c>
      <c r="E34" s="27" t="s">
        <v>112</v>
      </c>
      <c r="F34" s="29">
        <f t="shared" si="3"/>
        <v>199</v>
      </c>
      <c r="G34" s="29">
        <v>88</v>
      </c>
      <c r="H34" s="29">
        <v>52</v>
      </c>
      <c r="I34" s="29">
        <v>14</v>
      </c>
      <c r="J34" s="29">
        <v>45</v>
      </c>
      <c r="K34" s="29"/>
      <c r="L34" s="29" t="s">
        <v>36</v>
      </c>
      <c r="M34" s="29"/>
      <c r="N34" s="29"/>
      <c r="O34" s="29"/>
      <c r="P34" s="29"/>
      <c r="Q34" s="28"/>
      <c r="R34" s="52"/>
    </row>
    <row r="35" s="4" customFormat="1" ht="84" customHeight="1" outlineLevel="2" spans="1:18">
      <c r="A35" s="21">
        <v>8.6</v>
      </c>
      <c r="B35" s="22" t="s">
        <v>236</v>
      </c>
      <c r="C35" s="22" t="s">
        <v>237</v>
      </c>
      <c r="D35" s="21" t="s">
        <v>34</v>
      </c>
      <c r="E35" s="21" t="s">
        <v>35</v>
      </c>
      <c r="F35" s="24">
        <f t="shared" si="3"/>
        <v>0.5068</v>
      </c>
      <c r="G35" s="24">
        <v>0.5068</v>
      </c>
      <c r="H35" s="24"/>
      <c r="I35" s="24"/>
      <c r="J35" s="24"/>
      <c r="K35" s="24"/>
      <c r="L35" s="24" t="s">
        <v>36</v>
      </c>
      <c r="M35" s="24"/>
      <c r="N35" s="24"/>
      <c r="O35" s="24"/>
      <c r="P35" s="24"/>
      <c r="Q35" s="22"/>
      <c r="R35" s="52"/>
    </row>
    <row r="36" s="4" customFormat="1" ht="47" customHeight="1" outlineLevel="2" spans="1:18">
      <c r="A36" s="21">
        <v>8.7</v>
      </c>
      <c r="B36" s="22" t="s">
        <v>238</v>
      </c>
      <c r="C36" s="22" t="s">
        <v>239</v>
      </c>
      <c r="D36" s="21" t="s">
        <v>34</v>
      </c>
      <c r="E36" s="21" t="s">
        <v>35</v>
      </c>
      <c r="F36" s="24">
        <f t="shared" si="3"/>
        <v>0.672</v>
      </c>
      <c r="G36" s="24"/>
      <c r="H36" s="24"/>
      <c r="I36" s="24">
        <v>0.672</v>
      </c>
      <c r="J36" s="24"/>
      <c r="K36" s="24"/>
      <c r="L36" s="24" t="s">
        <v>36</v>
      </c>
      <c r="M36" s="24"/>
      <c r="N36" s="24"/>
      <c r="O36" s="24"/>
      <c r="P36" s="24"/>
      <c r="Q36" s="22"/>
      <c r="R36" s="52"/>
    </row>
    <row r="37" s="4" customFormat="1" ht="67" customHeight="1" outlineLevel="2" spans="1:18">
      <c r="A37" s="21">
        <v>8.8</v>
      </c>
      <c r="B37" s="22" t="s">
        <v>240</v>
      </c>
      <c r="C37" s="22" t="s">
        <v>241</v>
      </c>
      <c r="D37" s="21" t="s">
        <v>34</v>
      </c>
      <c r="E37" s="21" t="s">
        <v>35</v>
      </c>
      <c r="F37" s="24">
        <v>6.67</v>
      </c>
      <c r="G37" s="24"/>
      <c r="H37" s="24"/>
      <c r="I37" s="24"/>
      <c r="J37" s="24"/>
      <c r="K37" s="24"/>
      <c r="L37" s="24" t="s">
        <v>36</v>
      </c>
      <c r="M37" s="24"/>
      <c r="N37" s="24"/>
      <c r="O37" s="24"/>
      <c r="P37" s="24"/>
      <c r="Q37" s="22"/>
      <c r="R37" s="52"/>
    </row>
    <row r="38" s="3" customFormat="1" ht="25" customHeight="1" spans="1:18">
      <c r="A38" s="16" t="s">
        <v>121</v>
      </c>
      <c r="B38" s="19" t="s">
        <v>122</v>
      </c>
      <c r="C38" s="19"/>
      <c r="D38" s="16"/>
      <c r="E38" s="16"/>
      <c r="F38" s="20"/>
      <c r="G38" s="20"/>
      <c r="H38" s="20"/>
      <c r="I38" s="20"/>
      <c r="J38" s="20"/>
      <c r="K38" s="20"/>
      <c r="L38" s="20"/>
      <c r="M38" s="20"/>
      <c r="N38" s="20"/>
      <c r="O38" s="20"/>
      <c r="P38" s="20"/>
      <c r="Q38" s="19"/>
      <c r="R38" s="52"/>
    </row>
    <row r="39" s="3" customFormat="1" ht="25" customHeight="1" outlineLevel="1" spans="1:18">
      <c r="A39" s="16">
        <v>1</v>
      </c>
      <c r="B39" s="19" t="s">
        <v>123</v>
      </c>
      <c r="C39" s="19"/>
      <c r="D39" s="16"/>
      <c r="E39" s="16"/>
      <c r="F39" s="20"/>
      <c r="G39" s="20"/>
      <c r="H39" s="20"/>
      <c r="I39" s="20"/>
      <c r="J39" s="20"/>
      <c r="K39" s="20"/>
      <c r="L39" s="20"/>
      <c r="M39" s="20"/>
      <c r="N39" s="20"/>
      <c r="O39" s="20"/>
      <c r="P39" s="20"/>
      <c r="Q39" s="19"/>
      <c r="R39" s="52"/>
    </row>
    <row r="40" s="3" customFormat="1" ht="83" customHeight="1" outlineLevel="2" spans="1:18">
      <c r="A40" s="21">
        <v>1.1</v>
      </c>
      <c r="B40" s="22" t="s">
        <v>242</v>
      </c>
      <c r="C40" s="30" t="s">
        <v>243</v>
      </c>
      <c r="D40" s="31" t="s">
        <v>98</v>
      </c>
      <c r="E40" s="32" t="s">
        <v>40</v>
      </c>
      <c r="F40" s="24">
        <v>414</v>
      </c>
      <c r="G40" s="20"/>
      <c r="H40" s="20"/>
      <c r="I40" s="20"/>
      <c r="J40" s="20"/>
      <c r="K40" s="20"/>
      <c r="L40" s="24" t="s">
        <v>36</v>
      </c>
      <c r="M40" s="20"/>
      <c r="N40" s="20"/>
      <c r="O40" s="20"/>
      <c r="P40" s="20"/>
      <c r="Q40" s="19"/>
      <c r="R40" s="52"/>
    </row>
    <row r="41" s="1" customFormat="1" ht="75" customHeight="1" outlineLevel="2" spans="1:18">
      <c r="A41" s="21">
        <v>1.2</v>
      </c>
      <c r="B41" s="22" t="s">
        <v>135</v>
      </c>
      <c r="C41" s="33" t="s">
        <v>136</v>
      </c>
      <c r="D41" s="34" t="s">
        <v>137</v>
      </c>
      <c r="E41" s="35" t="s">
        <v>120</v>
      </c>
      <c r="F41" s="36">
        <v>160</v>
      </c>
      <c r="G41" s="36"/>
      <c r="H41" s="36"/>
      <c r="I41" s="36"/>
      <c r="J41" s="36"/>
      <c r="K41" s="36"/>
      <c r="L41" s="48"/>
      <c r="M41" s="48"/>
      <c r="N41" s="36"/>
      <c r="O41" s="36"/>
      <c r="P41" s="36"/>
      <c r="Q41" s="58" t="s">
        <v>132</v>
      </c>
      <c r="R41" s="9"/>
    </row>
    <row r="42" s="1" customFormat="1" ht="48" customHeight="1" outlineLevel="1" spans="1:18">
      <c r="A42" s="16">
        <v>2</v>
      </c>
      <c r="B42" s="19" t="s">
        <v>244</v>
      </c>
      <c r="C42" s="37"/>
      <c r="D42" s="21"/>
      <c r="E42" s="21"/>
      <c r="F42" s="24"/>
      <c r="G42" s="24"/>
      <c r="H42" s="24"/>
      <c r="I42" s="24"/>
      <c r="J42" s="24"/>
      <c r="K42" s="24"/>
      <c r="L42" s="24"/>
      <c r="M42" s="24"/>
      <c r="N42" s="24"/>
      <c r="O42" s="24"/>
      <c r="P42" s="24"/>
      <c r="Q42" s="59"/>
      <c r="R42" s="9"/>
    </row>
    <row r="43" s="1" customFormat="1" ht="94" customHeight="1" outlineLevel="2" spans="1:18">
      <c r="A43" s="21">
        <v>3.1</v>
      </c>
      <c r="B43" s="22" t="s">
        <v>245</v>
      </c>
      <c r="C43" s="37" t="s">
        <v>246</v>
      </c>
      <c r="D43" s="21" t="s">
        <v>49</v>
      </c>
      <c r="E43" s="21" t="s">
        <v>40</v>
      </c>
      <c r="F43" s="24">
        <v>47</v>
      </c>
      <c r="G43" s="24"/>
      <c r="H43" s="24"/>
      <c r="I43" s="24"/>
      <c r="J43" s="24"/>
      <c r="K43" s="24"/>
      <c r="L43" s="24" t="s">
        <v>36</v>
      </c>
      <c r="M43" s="24"/>
      <c r="N43" s="24"/>
      <c r="O43" s="24"/>
      <c r="P43" s="24"/>
      <c r="Q43" s="59"/>
      <c r="R43" s="9"/>
    </row>
    <row r="44" s="1" customFormat="1" ht="96" customHeight="1" outlineLevel="2" spans="1:18">
      <c r="A44" s="21">
        <v>3.2</v>
      </c>
      <c r="B44" s="22" t="s">
        <v>247</v>
      </c>
      <c r="C44" s="37" t="s">
        <v>246</v>
      </c>
      <c r="D44" s="21" t="s">
        <v>49</v>
      </c>
      <c r="E44" s="21" t="s">
        <v>40</v>
      </c>
      <c r="F44" s="24">
        <v>291</v>
      </c>
      <c r="G44" s="24"/>
      <c r="H44" s="24"/>
      <c r="I44" s="24"/>
      <c r="J44" s="24"/>
      <c r="K44" s="24"/>
      <c r="L44" s="24" t="s">
        <v>36</v>
      </c>
      <c r="M44" s="24"/>
      <c r="N44" s="24"/>
      <c r="O44" s="24"/>
      <c r="P44" s="24"/>
      <c r="Q44" s="59"/>
      <c r="R44" s="9"/>
    </row>
    <row r="45" s="1" customFormat="1" ht="160" customHeight="1" outlineLevel="2" spans="1:18">
      <c r="A45" s="21">
        <v>3.2</v>
      </c>
      <c r="B45" s="22" t="s">
        <v>248</v>
      </c>
      <c r="C45" s="37" t="s">
        <v>249</v>
      </c>
      <c r="D45" s="21" t="s">
        <v>49</v>
      </c>
      <c r="E45" s="21" t="s">
        <v>40</v>
      </c>
      <c r="F45" s="24">
        <v>101</v>
      </c>
      <c r="G45" s="24"/>
      <c r="H45" s="24"/>
      <c r="I45" s="24"/>
      <c r="J45" s="24"/>
      <c r="K45" s="24"/>
      <c r="L45" s="24"/>
      <c r="M45" s="24"/>
      <c r="N45" s="24"/>
      <c r="O45" s="24"/>
      <c r="P45" s="24"/>
      <c r="Q45" s="60" t="s">
        <v>250</v>
      </c>
      <c r="R45" s="9"/>
    </row>
    <row r="46" s="3" customFormat="1" ht="25" customHeight="1" spans="1:18">
      <c r="A46" s="16" t="s">
        <v>164</v>
      </c>
      <c r="B46" s="19" t="s">
        <v>165</v>
      </c>
      <c r="C46" s="19"/>
      <c r="D46" s="16"/>
      <c r="E46" s="16"/>
      <c r="F46" s="20"/>
      <c r="G46" s="20"/>
      <c r="H46" s="20"/>
      <c r="I46" s="20"/>
      <c r="J46" s="20"/>
      <c r="K46" s="20"/>
      <c r="L46" s="20"/>
      <c r="M46" s="20"/>
      <c r="N46" s="20"/>
      <c r="O46" s="20"/>
      <c r="P46" s="20"/>
      <c r="Q46" s="19"/>
      <c r="R46" s="52"/>
    </row>
    <row r="47" s="3" customFormat="1" ht="45" customHeight="1" outlineLevel="1" spans="1:18">
      <c r="A47" s="21">
        <v>1</v>
      </c>
      <c r="B47" s="38" t="s">
        <v>166</v>
      </c>
      <c r="C47" s="22" t="s">
        <v>167</v>
      </c>
      <c r="D47" s="21" t="s">
        <v>168</v>
      </c>
      <c r="E47" s="38" t="s">
        <v>40</v>
      </c>
      <c r="F47" s="24">
        <v>149.96</v>
      </c>
      <c r="G47" s="20"/>
      <c r="H47" s="20"/>
      <c r="I47" s="20"/>
      <c r="J47" s="20"/>
      <c r="K47" s="20"/>
      <c r="L47" s="24" t="s">
        <v>36</v>
      </c>
      <c r="M47" s="24"/>
      <c r="N47" s="20"/>
      <c r="O47" s="20"/>
      <c r="P47" s="20"/>
      <c r="Q47" s="19"/>
      <c r="R47" s="52"/>
    </row>
    <row r="48" s="3" customFormat="1" ht="37" customHeight="1" outlineLevel="1" spans="1:18">
      <c r="A48" s="21">
        <v>2</v>
      </c>
      <c r="B48" s="38" t="s">
        <v>169</v>
      </c>
      <c r="C48" s="22" t="s">
        <v>167</v>
      </c>
      <c r="D48" s="21" t="s">
        <v>170</v>
      </c>
      <c r="E48" s="38" t="s">
        <v>40</v>
      </c>
      <c r="F48" s="24">
        <v>304.8</v>
      </c>
      <c r="G48" s="20"/>
      <c r="H48" s="20"/>
      <c r="I48" s="20"/>
      <c r="J48" s="20"/>
      <c r="K48" s="20"/>
      <c r="L48" s="24" t="s">
        <v>36</v>
      </c>
      <c r="M48" s="24"/>
      <c r="N48" s="20"/>
      <c r="O48" s="20"/>
      <c r="P48" s="20"/>
      <c r="Q48" s="19"/>
      <c r="R48" s="52"/>
    </row>
    <row r="49" s="3" customFormat="1" ht="37" customHeight="1" outlineLevel="1" spans="1:18">
      <c r="A49" s="21">
        <v>3</v>
      </c>
      <c r="B49" s="38" t="s">
        <v>174</v>
      </c>
      <c r="C49" s="22" t="s">
        <v>175</v>
      </c>
      <c r="D49" s="21" t="s">
        <v>145</v>
      </c>
      <c r="E49" s="38" t="s">
        <v>120</v>
      </c>
      <c r="F49" s="24">
        <v>483.6</v>
      </c>
      <c r="G49" s="20"/>
      <c r="H49" s="20"/>
      <c r="I49" s="20"/>
      <c r="J49" s="20"/>
      <c r="K49" s="20"/>
      <c r="L49" s="24" t="s">
        <v>36</v>
      </c>
      <c r="M49" s="24"/>
      <c r="N49" s="20"/>
      <c r="O49" s="20"/>
      <c r="P49" s="20"/>
      <c r="Q49" s="19"/>
      <c r="R49" s="52"/>
    </row>
    <row r="50" s="3" customFormat="1" ht="37" customHeight="1" outlineLevel="1" spans="1:18">
      <c r="A50" s="21">
        <v>4</v>
      </c>
      <c r="B50" s="21" t="s">
        <v>176</v>
      </c>
      <c r="C50" s="22" t="s">
        <v>177</v>
      </c>
      <c r="D50" s="21" t="s">
        <v>178</v>
      </c>
      <c r="E50" s="38" t="s">
        <v>40</v>
      </c>
      <c r="F50" s="24">
        <v>33.08</v>
      </c>
      <c r="G50" s="20"/>
      <c r="H50" s="20"/>
      <c r="I50" s="20"/>
      <c r="J50" s="20"/>
      <c r="K50" s="20"/>
      <c r="L50" s="24" t="s">
        <v>36</v>
      </c>
      <c r="M50" s="24"/>
      <c r="N50" s="20"/>
      <c r="O50" s="20"/>
      <c r="P50" s="20"/>
      <c r="Q50" s="19"/>
      <c r="R50" s="52"/>
    </row>
    <row r="51" s="3" customFormat="1" ht="37" customHeight="1" outlineLevel="1" spans="1:18">
      <c r="A51" s="21">
        <v>5</v>
      </c>
      <c r="B51" s="21" t="s">
        <v>179</v>
      </c>
      <c r="C51" s="22" t="s">
        <v>180</v>
      </c>
      <c r="D51" s="21" t="s">
        <v>178</v>
      </c>
      <c r="E51" s="38" t="s">
        <v>40</v>
      </c>
      <c r="F51" s="24">
        <v>66.16</v>
      </c>
      <c r="G51" s="20"/>
      <c r="H51" s="20"/>
      <c r="I51" s="20"/>
      <c r="J51" s="20"/>
      <c r="K51" s="20"/>
      <c r="L51" s="24" t="s">
        <v>36</v>
      </c>
      <c r="M51" s="24"/>
      <c r="N51" s="20"/>
      <c r="O51" s="20"/>
      <c r="P51" s="20"/>
      <c r="Q51" s="19"/>
      <c r="R51" s="52"/>
    </row>
    <row r="52" s="3" customFormat="1" ht="27" customHeight="1" spans="1:18">
      <c r="A52" s="16" t="s">
        <v>184</v>
      </c>
      <c r="B52" s="19" t="s">
        <v>185</v>
      </c>
      <c r="C52" s="19"/>
      <c r="D52" s="16"/>
      <c r="E52" s="16"/>
      <c r="F52" s="20"/>
      <c r="G52" s="20"/>
      <c r="H52" s="20"/>
      <c r="I52" s="20"/>
      <c r="J52" s="20"/>
      <c r="K52" s="20"/>
      <c r="L52" s="20"/>
      <c r="M52" s="20"/>
      <c r="N52" s="20"/>
      <c r="O52" s="20"/>
      <c r="P52" s="20"/>
      <c r="Q52" s="19"/>
      <c r="R52" s="52"/>
    </row>
    <row r="53" s="1" customFormat="1" ht="25" customHeight="1" outlineLevel="1" spans="1:18">
      <c r="A53" s="21">
        <v>1</v>
      </c>
      <c r="B53" s="22" t="s">
        <v>186</v>
      </c>
      <c r="C53" s="22"/>
      <c r="D53" s="21"/>
      <c r="E53" s="32" t="s">
        <v>187</v>
      </c>
      <c r="F53" s="24">
        <v>1</v>
      </c>
      <c r="G53" s="39"/>
      <c r="H53" s="39"/>
      <c r="I53" s="39"/>
      <c r="J53" s="39"/>
      <c r="K53" s="39"/>
      <c r="L53" s="24" t="s">
        <v>36</v>
      </c>
      <c r="M53" s="39"/>
      <c r="N53" s="39"/>
      <c r="O53" s="39"/>
      <c r="P53" s="39"/>
      <c r="Q53" s="61" t="s">
        <v>251</v>
      </c>
      <c r="R53" s="9"/>
    </row>
    <row r="54" s="1" customFormat="1" ht="25" customHeight="1" outlineLevel="1" spans="1:18">
      <c r="A54" s="21">
        <v>2</v>
      </c>
      <c r="B54" s="22" t="s">
        <v>189</v>
      </c>
      <c r="C54" s="22"/>
      <c r="D54" s="21"/>
      <c r="E54" s="32" t="s">
        <v>187</v>
      </c>
      <c r="F54" s="24">
        <v>40</v>
      </c>
      <c r="G54" s="39"/>
      <c r="H54" s="39"/>
      <c r="I54" s="39"/>
      <c r="J54" s="39"/>
      <c r="K54" s="39"/>
      <c r="L54" s="24" t="s">
        <v>36</v>
      </c>
      <c r="M54" s="39"/>
      <c r="N54" s="39"/>
      <c r="O54" s="39"/>
      <c r="P54" s="39"/>
      <c r="Q54" s="62"/>
      <c r="R54" s="9"/>
    </row>
    <row r="55" s="1" customFormat="1" ht="25" customHeight="1" outlineLevel="1" spans="1:18">
      <c r="A55" s="21">
        <v>3</v>
      </c>
      <c r="B55" s="22" t="s">
        <v>190</v>
      </c>
      <c r="C55" s="22"/>
      <c r="D55" s="21"/>
      <c r="E55" s="32" t="s">
        <v>187</v>
      </c>
      <c r="F55" s="24">
        <v>288</v>
      </c>
      <c r="G55" s="39"/>
      <c r="H55" s="39"/>
      <c r="I55" s="39"/>
      <c r="J55" s="39"/>
      <c r="K55" s="39"/>
      <c r="L55" s="24" t="s">
        <v>36</v>
      </c>
      <c r="M55" s="39"/>
      <c r="N55" s="39"/>
      <c r="O55" s="39"/>
      <c r="P55" s="39"/>
      <c r="Q55" s="62"/>
      <c r="R55" s="9"/>
    </row>
    <row r="56" s="1" customFormat="1" ht="25" customHeight="1" outlineLevel="1" spans="1:18">
      <c r="A56" s="21">
        <v>4</v>
      </c>
      <c r="B56" s="22" t="s">
        <v>191</v>
      </c>
      <c r="C56" s="22"/>
      <c r="D56" s="21"/>
      <c r="E56" s="32" t="s">
        <v>187</v>
      </c>
      <c r="F56" s="24">
        <v>18</v>
      </c>
      <c r="G56" s="39"/>
      <c r="H56" s="39"/>
      <c r="I56" s="39"/>
      <c r="J56" s="39"/>
      <c r="K56" s="39"/>
      <c r="L56" s="24" t="s">
        <v>36</v>
      </c>
      <c r="M56" s="39"/>
      <c r="N56" s="39"/>
      <c r="O56" s="39"/>
      <c r="P56" s="39"/>
      <c r="Q56" s="62"/>
      <c r="R56" s="9"/>
    </row>
    <row r="57" s="1" customFormat="1" ht="25" customHeight="1" outlineLevel="1" spans="1:18">
      <c r="A57" s="21">
        <v>5</v>
      </c>
      <c r="B57" s="22" t="s">
        <v>192</v>
      </c>
      <c r="C57" s="22"/>
      <c r="D57" s="21"/>
      <c r="E57" s="32" t="s">
        <v>187</v>
      </c>
      <c r="F57" s="24">
        <v>1</v>
      </c>
      <c r="G57" s="39"/>
      <c r="H57" s="39"/>
      <c r="I57" s="39"/>
      <c r="J57" s="39"/>
      <c r="K57" s="39"/>
      <c r="L57" s="24" t="s">
        <v>36</v>
      </c>
      <c r="M57" s="39"/>
      <c r="N57" s="39"/>
      <c r="O57" s="39"/>
      <c r="P57" s="39"/>
      <c r="Q57" s="62"/>
      <c r="R57" s="9"/>
    </row>
    <row r="58" s="1" customFormat="1" ht="25" customHeight="1" outlineLevel="1" spans="1:18">
      <c r="A58" s="21">
        <v>6</v>
      </c>
      <c r="B58" s="22" t="s">
        <v>193</v>
      </c>
      <c r="C58" s="22"/>
      <c r="D58" s="21"/>
      <c r="E58" s="32" t="s">
        <v>187</v>
      </c>
      <c r="F58" s="24">
        <v>1</v>
      </c>
      <c r="G58" s="39"/>
      <c r="H58" s="39"/>
      <c r="I58" s="39"/>
      <c r="J58" s="39"/>
      <c r="K58" s="39"/>
      <c r="L58" s="24" t="s">
        <v>36</v>
      </c>
      <c r="M58" s="39"/>
      <c r="N58" s="39"/>
      <c r="O58" s="39"/>
      <c r="P58" s="39"/>
      <c r="Q58" s="62"/>
      <c r="R58" s="9"/>
    </row>
    <row r="59" s="1" customFormat="1" ht="25" customHeight="1" outlineLevel="1" spans="1:18">
      <c r="A59" s="21">
        <v>7</v>
      </c>
      <c r="B59" s="22" t="s">
        <v>194</v>
      </c>
      <c r="C59" s="22"/>
      <c r="D59" s="21"/>
      <c r="E59" s="32" t="s">
        <v>187</v>
      </c>
      <c r="F59" s="24">
        <v>1</v>
      </c>
      <c r="G59" s="39"/>
      <c r="H59" s="39"/>
      <c r="I59" s="39"/>
      <c r="J59" s="39"/>
      <c r="K59" s="39"/>
      <c r="L59" s="24" t="s">
        <v>36</v>
      </c>
      <c r="M59" s="39"/>
      <c r="N59" s="39"/>
      <c r="O59" s="39"/>
      <c r="P59" s="39"/>
      <c r="Q59" s="62"/>
      <c r="R59" s="9"/>
    </row>
    <row r="60" s="1" customFormat="1" ht="25" customHeight="1" outlineLevel="1" spans="1:18">
      <c r="A60" s="21">
        <v>8</v>
      </c>
      <c r="B60" s="22" t="s">
        <v>195</v>
      </c>
      <c r="C60" s="22"/>
      <c r="D60" s="21"/>
      <c r="E60" s="32" t="s">
        <v>187</v>
      </c>
      <c r="F60" s="24">
        <v>1</v>
      </c>
      <c r="G60" s="39"/>
      <c r="H60" s="39"/>
      <c r="I60" s="39"/>
      <c r="J60" s="39"/>
      <c r="K60" s="39"/>
      <c r="L60" s="24" t="s">
        <v>36</v>
      </c>
      <c r="M60" s="39"/>
      <c r="N60" s="39"/>
      <c r="O60" s="39"/>
      <c r="P60" s="39"/>
      <c r="Q60" s="62"/>
      <c r="R60" s="9"/>
    </row>
    <row r="61" s="1" customFormat="1" ht="25" customHeight="1" outlineLevel="1" spans="1:18">
      <c r="A61" s="21">
        <v>9</v>
      </c>
      <c r="B61" s="22" t="s">
        <v>196</v>
      </c>
      <c r="C61" s="22"/>
      <c r="D61" s="21"/>
      <c r="E61" s="32" t="s">
        <v>187</v>
      </c>
      <c r="F61" s="24">
        <v>1</v>
      </c>
      <c r="G61" s="24"/>
      <c r="H61" s="24"/>
      <c r="I61" s="24"/>
      <c r="J61" s="24"/>
      <c r="K61" s="24"/>
      <c r="L61" s="24" t="s">
        <v>36</v>
      </c>
      <c r="M61" s="24"/>
      <c r="N61" s="24"/>
      <c r="O61" s="24"/>
      <c r="P61" s="24"/>
      <c r="Q61" s="62"/>
      <c r="R61" s="9"/>
    </row>
    <row r="62" s="1" customFormat="1" ht="25" customHeight="1" outlineLevel="1" spans="1:18">
      <c r="A62" s="21">
        <v>10</v>
      </c>
      <c r="B62" s="22" t="s">
        <v>197</v>
      </c>
      <c r="C62" s="22"/>
      <c r="D62" s="21"/>
      <c r="E62" s="32" t="s">
        <v>187</v>
      </c>
      <c r="F62" s="24">
        <v>1</v>
      </c>
      <c r="G62" s="24"/>
      <c r="H62" s="24"/>
      <c r="I62" s="24"/>
      <c r="J62" s="24"/>
      <c r="K62" s="24"/>
      <c r="L62" s="24" t="s">
        <v>36</v>
      </c>
      <c r="M62" s="24"/>
      <c r="N62" s="24"/>
      <c r="O62" s="24"/>
      <c r="P62" s="24"/>
      <c r="Q62" s="62"/>
      <c r="R62" s="9"/>
    </row>
    <row r="63" s="6" customFormat="1" ht="35" customHeight="1" spans="1:18">
      <c r="A63" s="16" t="s">
        <v>198</v>
      </c>
      <c r="B63" s="40" t="s">
        <v>199</v>
      </c>
      <c r="C63" s="40"/>
      <c r="D63" s="41"/>
      <c r="E63" s="41" t="s">
        <v>200</v>
      </c>
      <c r="F63" s="42"/>
      <c r="G63" s="42"/>
      <c r="H63" s="42"/>
      <c r="I63" s="42"/>
      <c r="J63" s="42"/>
      <c r="K63" s="42"/>
      <c r="L63" s="42"/>
      <c r="M63" s="42"/>
      <c r="N63" s="42"/>
      <c r="O63" s="42"/>
      <c r="P63" s="49"/>
      <c r="Q63" s="63"/>
      <c r="R63" s="52"/>
    </row>
    <row r="64" s="6" customFormat="1" ht="35" customHeight="1" spans="1:18">
      <c r="A64" s="43" t="s">
        <v>201</v>
      </c>
      <c r="B64" s="44" t="s">
        <v>202</v>
      </c>
      <c r="C64" s="44"/>
      <c r="D64" s="45"/>
      <c r="E64" s="45"/>
      <c r="F64" s="46"/>
      <c r="G64" s="46"/>
      <c r="H64" s="46"/>
      <c r="I64" s="46"/>
      <c r="J64" s="46"/>
      <c r="K64" s="46"/>
      <c r="L64" s="46"/>
      <c r="M64" s="46"/>
      <c r="N64" s="46"/>
      <c r="O64" s="46"/>
      <c r="P64" s="50"/>
      <c r="Q64" s="64"/>
      <c r="R64" s="52"/>
    </row>
    <row r="65" s="6" customFormat="1" ht="35" customHeight="1" spans="1:18">
      <c r="A65" s="43" t="s">
        <v>203</v>
      </c>
      <c r="B65" s="44" t="s">
        <v>204</v>
      </c>
      <c r="C65" s="44"/>
      <c r="D65" s="45"/>
      <c r="E65" s="45"/>
      <c r="F65" s="46"/>
      <c r="G65" s="46"/>
      <c r="H65" s="46"/>
      <c r="I65" s="46"/>
      <c r="J65" s="46"/>
      <c r="K65" s="46"/>
      <c r="L65" s="46"/>
      <c r="M65" s="46"/>
      <c r="N65" s="46"/>
      <c r="O65" s="46"/>
      <c r="P65" s="50"/>
      <c r="Q65" s="64"/>
      <c r="R65" s="52"/>
    </row>
    <row r="66" s="1" customFormat="1" ht="197" customHeight="1" spans="1:18">
      <c r="A66" s="65" t="s">
        <v>252</v>
      </c>
      <c r="B66" s="66"/>
      <c r="C66" s="66"/>
      <c r="D66" s="66"/>
      <c r="E66" s="66"/>
      <c r="F66" s="66"/>
      <c r="G66" s="66"/>
      <c r="H66" s="66"/>
      <c r="I66" s="66"/>
      <c r="J66" s="66"/>
      <c r="K66" s="66"/>
      <c r="L66" s="66"/>
      <c r="M66" s="66"/>
      <c r="N66" s="66"/>
      <c r="O66" s="66"/>
      <c r="P66" s="66"/>
      <c r="Q66" s="66"/>
      <c r="R66" s="9"/>
    </row>
  </sheetData>
  <mergeCells count="4">
    <mergeCell ref="A1:Q1"/>
    <mergeCell ref="A2:E2"/>
    <mergeCell ref="A66:Q66"/>
    <mergeCell ref="Q53:Q63"/>
  </mergeCells>
  <pageMargins left="0.354166666666667" right="0.314583333333333" top="0.354166666666667" bottom="0.354166666666667" header="0.393055555555556" footer="0.354166666666667"/>
  <pageSetup paperSize="9" scale="66"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vt:lpstr>
      <vt:lpstr>污水厂</vt:lpstr>
      <vt:lpstr>供水厂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李林</cp:lastModifiedBy>
  <dcterms:created xsi:type="dcterms:W3CDTF">2021-06-17T13:48:00Z</dcterms:created>
  <dcterms:modified xsi:type="dcterms:W3CDTF">2025-09-16T06:57:11Z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2ABB09DEEDF74934BAFB05C1871F8562_13</vt:lpwstr>
  </property>
  <property fmtid="{D5CDD505-2E9C-101B-9397-08002B2CF9AE}" pid="3" name="KSOProductBuildVer">
    <vt:lpwstr>2052-12.1.0.22529</vt:lpwstr>
  </property>
  <property fmtid="{D5CDD505-2E9C-101B-9397-08002B2CF9AE}" pid="4" name="KSOReadingLayout">
    <vt:bool>true</vt:bool>
  </property>
</Properties>
</file>